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 xml:space="preserve">Nebraska Holdings 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RM122.5 .T45 1965a</t>
        </is>
      </c>
      <c r="C2" t="inlineStr">
        <is>
          <t>0                      RM 0122500T  45          1965a</t>
        </is>
      </c>
      <c r="D2" t="inlineStr">
        <is>
          <t>Grannies' remedies.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Thomas, Mai.</t>
        </is>
      </c>
      <c r="L2" t="inlineStr">
        <is>
          <t>New York : Gramercy Pub. Co. ; [1965]</t>
        </is>
      </c>
      <c r="M2" t="inlineStr">
        <is>
          <t>1965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RM </t>
        </is>
      </c>
      <c r="S2" t="n">
        <v>1</v>
      </c>
      <c r="T2" t="n">
        <v>1</v>
      </c>
      <c r="U2" t="inlineStr">
        <is>
          <t>2000-08-30</t>
        </is>
      </c>
      <c r="V2" t="inlineStr">
        <is>
          <t>2000-08-30</t>
        </is>
      </c>
      <c r="W2" t="inlineStr">
        <is>
          <t>2000-08-24</t>
        </is>
      </c>
      <c r="X2" t="inlineStr">
        <is>
          <t>2000-08-24</t>
        </is>
      </c>
      <c r="Y2" t="n">
        <v>190</v>
      </c>
      <c r="Z2" t="n">
        <v>185</v>
      </c>
      <c r="AA2" t="n">
        <v>370</v>
      </c>
      <c r="AB2" t="n">
        <v>3</v>
      </c>
      <c r="AC2" t="n">
        <v>4</v>
      </c>
      <c r="AD2" t="n">
        <v>5</v>
      </c>
      <c r="AE2" t="n">
        <v>6</v>
      </c>
      <c r="AF2" t="n">
        <v>3</v>
      </c>
      <c r="AG2" t="n">
        <v>3</v>
      </c>
      <c r="AH2" t="n">
        <v>1</v>
      </c>
      <c r="AI2" t="n">
        <v>1</v>
      </c>
      <c r="AJ2" t="n">
        <v>2</v>
      </c>
      <c r="AK2" t="n">
        <v>3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HYPERLINK("https://creighton-primo.hosted.exlibrisgroup.com/primo-explore/search?tab=default_tab&amp;search_scope=EVERYTHING&amp;vid=01CRU&amp;lang=en_US&amp;offset=0&amp;query=any,contains,991003272899702656","Catalog Record")</f>
        <v/>
      </c>
      <c r="AT2">
        <f>HYPERLINK("http://www.worldcat.org/oclc/1197712","WorldCat Record")</f>
        <v/>
      </c>
      <c r="AU2" t="inlineStr">
        <is>
          <t>2160026:eng</t>
        </is>
      </c>
      <c r="AV2" t="inlineStr">
        <is>
          <t>1197712</t>
        </is>
      </c>
      <c r="AW2" t="inlineStr">
        <is>
          <t>991003272899702656</t>
        </is>
      </c>
      <c r="AX2" t="inlineStr">
        <is>
          <t>991003272899702656</t>
        </is>
      </c>
      <c r="AY2" t="inlineStr">
        <is>
          <t>2268718680002656</t>
        </is>
      </c>
      <c r="AZ2" t="inlineStr">
        <is>
          <t>BOOK</t>
        </is>
      </c>
      <c r="BC2" t="inlineStr">
        <is>
          <t>32285003770178</t>
        </is>
      </c>
      <c r="BD2" t="inlineStr">
        <is>
          <t>893780792</t>
        </is>
      </c>
    </row>
    <row r="3">
      <c r="A3" t="inlineStr">
        <is>
          <t>No</t>
        </is>
      </c>
      <c r="B3" t="inlineStr">
        <is>
          <t>RM146.5 .G67 1980</t>
        </is>
      </c>
      <c r="C3" t="inlineStr">
        <is>
          <t>0                      RM 0146500G  67          1980</t>
        </is>
      </c>
      <c r="D3" t="inlineStr">
        <is>
          <t>I'm dancing as fast as I can / Barbara Gordon.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Gordon, Barbara, 1935-</t>
        </is>
      </c>
      <c r="L3" t="inlineStr">
        <is>
          <t>New York : Bantam Books, 1980, c1979.</t>
        </is>
      </c>
      <c r="M3" t="inlineStr">
        <is>
          <t>1980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RM </t>
        </is>
      </c>
      <c r="S3" t="n">
        <v>1</v>
      </c>
      <c r="T3" t="n">
        <v>1</v>
      </c>
      <c r="U3" t="inlineStr">
        <is>
          <t>2001-07-16</t>
        </is>
      </c>
      <c r="V3" t="inlineStr">
        <is>
          <t>2001-07-16</t>
        </is>
      </c>
      <c r="W3" t="inlineStr">
        <is>
          <t>2001-07-16</t>
        </is>
      </c>
      <c r="X3" t="inlineStr">
        <is>
          <t>2001-07-16</t>
        </is>
      </c>
      <c r="Y3" t="n">
        <v>134</v>
      </c>
      <c r="Z3" t="n">
        <v>116</v>
      </c>
      <c r="AA3" t="n">
        <v>1501</v>
      </c>
      <c r="AB3" t="n">
        <v>1</v>
      </c>
      <c r="AC3" t="n">
        <v>5</v>
      </c>
      <c r="AD3" t="n">
        <v>5</v>
      </c>
      <c r="AE3" t="n">
        <v>17</v>
      </c>
      <c r="AF3" t="n">
        <v>3</v>
      </c>
      <c r="AG3" t="n">
        <v>8</v>
      </c>
      <c r="AH3" t="n">
        <v>0</v>
      </c>
      <c r="AI3" t="n">
        <v>2</v>
      </c>
      <c r="AJ3" t="n">
        <v>3</v>
      </c>
      <c r="AK3" t="n">
        <v>10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HYPERLINK("https://creighton-primo.hosted.exlibrisgroup.com/primo-explore/search?tab=default_tab&amp;search_scope=EVERYTHING&amp;vid=01CRU&amp;lang=en_US&amp;offset=0&amp;query=any,contains,991003570169702656","Catalog Record")</f>
        <v/>
      </c>
      <c r="AT3">
        <f>HYPERLINK("http://www.worldcat.org/oclc/6283045","WorldCat Record")</f>
        <v/>
      </c>
      <c r="AU3" t="inlineStr">
        <is>
          <t>402299:eng</t>
        </is>
      </c>
      <c r="AV3" t="inlineStr">
        <is>
          <t>6283045</t>
        </is>
      </c>
      <c r="AW3" t="inlineStr">
        <is>
          <t>991003570169702656</t>
        </is>
      </c>
      <c r="AX3" t="inlineStr">
        <is>
          <t>991003570169702656</t>
        </is>
      </c>
      <c r="AY3" t="inlineStr">
        <is>
          <t>2263683170002656</t>
        </is>
      </c>
      <c r="AZ3" t="inlineStr">
        <is>
          <t>BOOK</t>
        </is>
      </c>
      <c r="BB3" t="inlineStr">
        <is>
          <t>9780553134100</t>
        </is>
      </c>
      <c r="BC3" t="inlineStr">
        <is>
          <t>32285004332895</t>
        </is>
      </c>
      <c r="BD3" t="inlineStr">
        <is>
          <t>893805930</t>
        </is>
      </c>
    </row>
    <row r="4">
      <c r="A4" t="inlineStr">
        <is>
          <t>No</t>
        </is>
      </c>
      <c r="B4" t="inlineStr">
        <is>
          <t>RM146.5 .M64 2001</t>
        </is>
      </c>
      <c r="C4" t="inlineStr">
        <is>
          <t>0                      RM 0146500M  64          2001</t>
        </is>
      </c>
      <c r="D4" t="inlineStr">
        <is>
          <t>Swallowing a bitter pill : how prescription and over-the-counter drug abuse is ruining lives : my story / Cindy R. Mogil.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Mogil, Cindy R.</t>
        </is>
      </c>
      <c r="L4" t="inlineStr">
        <is>
          <t>Far Hills, N.J. : New Horizon Press, c2001.</t>
        </is>
      </c>
      <c r="M4" t="inlineStr">
        <is>
          <t>2001</t>
        </is>
      </c>
      <c r="O4" t="inlineStr">
        <is>
          <t>eng</t>
        </is>
      </c>
      <c r="P4" t="inlineStr">
        <is>
          <t>nju</t>
        </is>
      </c>
      <c r="R4" t="inlineStr">
        <is>
          <t xml:space="preserve">RM </t>
        </is>
      </c>
      <c r="S4" t="n">
        <v>3</v>
      </c>
      <c r="T4" t="n">
        <v>3</v>
      </c>
      <c r="U4" t="inlineStr">
        <is>
          <t>2007-10-08</t>
        </is>
      </c>
      <c r="V4" t="inlineStr">
        <is>
          <t>2007-10-08</t>
        </is>
      </c>
      <c r="W4" t="inlineStr">
        <is>
          <t>2002-11-18</t>
        </is>
      </c>
      <c r="X4" t="inlineStr">
        <is>
          <t>2002-11-18</t>
        </is>
      </c>
      <c r="Y4" t="n">
        <v>221</v>
      </c>
      <c r="Z4" t="n">
        <v>220</v>
      </c>
      <c r="AA4" t="n">
        <v>281</v>
      </c>
      <c r="AB4" t="n">
        <v>1</v>
      </c>
      <c r="AC4" t="n">
        <v>1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HYPERLINK("https://creighton-primo.hosted.exlibrisgroup.com/primo-explore/search?tab=default_tab&amp;search_scope=EVERYTHING&amp;vid=01CRU&amp;lang=en_US&amp;offset=0&amp;query=any,contains,991003933769702656","Catalog Record")</f>
        <v/>
      </c>
      <c r="AT4">
        <f>HYPERLINK("http://www.worldcat.org/oclc/48380776","WorldCat Record")</f>
        <v/>
      </c>
      <c r="AU4" t="inlineStr">
        <is>
          <t>11714113:eng</t>
        </is>
      </c>
      <c r="AV4" t="inlineStr">
        <is>
          <t>48380776</t>
        </is>
      </c>
      <c r="AW4" t="inlineStr">
        <is>
          <t>991003933769702656</t>
        </is>
      </c>
      <c r="AX4" t="inlineStr">
        <is>
          <t>991003933769702656</t>
        </is>
      </c>
      <c r="AY4" t="inlineStr">
        <is>
          <t>2269663340002656</t>
        </is>
      </c>
      <c r="AZ4" t="inlineStr">
        <is>
          <t>BOOK</t>
        </is>
      </c>
      <c r="BB4" t="inlineStr">
        <is>
          <t>9780882822112</t>
        </is>
      </c>
      <c r="BC4" t="inlineStr">
        <is>
          <t>32285004663638</t>
        </is>
      </c>
      <c r="BD4" t="inlineStr">
        <is>
          <t>893519054</t>
        </is>
      </c>
    </row>
    <row r="5">
      <c r="A5" t="inlineStr">
        <is>
          <t>No</t>
        </is>
      </c>
      <c r="B5" t="inlineStr">
        <is>
          <t>RM184 .C573</t>
        </is>
      </c>
      <c r="C5" t="inlineStr">
        <is>
          <t>0                      RM 0184000C  573</t>
        </is>
      </c>
      <c r="D5" t="inlineStr">
        <is>
          <t>An outline of Chinese acupuncture / the Academy of Traditional Chinese Medicine.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Zhong yi yan jiu yuan (Beijing, China)</t>
        </is>
      </c>
      <c r="L5" t="inlineStr">
        <is>
          <t>Oxford [Eng.] ; New York : Pergamon Press, c1975.</t>
        </is>
      </c>
      <c r="M5" t="inlineStr">
        <is>
          <t>1975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RM </t>
        </is>
      </c>
      <c r="S5" t="n">
        <v>43</v>
      </c>
      <c r="T5" t="n">
        <v>43</v>
      </c>
      <c r="U5" t="inlineStr">
        <is>
          <t>2007-02-12</t>
        </is>
      </c>
      <c r="V5" t="inlineStr">
        <is>
          <t>2007-02-12</t>
        </is>
      </c>
      <c r="W5" t="inlineStr">
        <is>
          <t>1996-02-01</t>
        </is>
      </c>
      <c r="X5" t="inlineStr">
        <is>
          <t>1996-02-01</t>
        </is>
      </c>
      <c r="Y5" t="n">
        <v>76</v>
      </c>
      <c r="Z5" t="n">
        <v>47</v>
      </c>
      <c r="AA5" t="n">
        <v>201</v>
      </c>
      <c r="AB5" t="n">
        <v>2</v>
      </c>
      <c r="AC5" t="n">
        <v>2</v>
      </c>
      <c r="AD5" t="n">
        <v>1</v>
      </c>
      <c r="AE5" t="n">
        <v>2</v>
      </c>
      <c r="AF5" t="n">
        <v>0</v>
      </c>
      <c r="AG5" t="n">
        <v>1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HYPERLINK("http://catalog.hathitrust.org/Record/000747940","HathiTrust Record")</f>
        <v/>
      </c>
      <c r="AS5">
        <f>HYPERLINK("https://creighton-primo.hosted.exlibrisgroup.com/primo-explore/search?tab=default_tab&amp;search_scope=EVERYTHING&amp;vid=01CRU&amp;lang=en_US&amp;offset=0&amp;query=any,contains,991004399589702656","Catalog Record")</f>
        <v/>
      </c>
      <c r="AT5">
        <f>HYPERLINK("http://www.worldcat.org/oclc/3294488","WorldCat Record")</f>
        <v/>
      </c>
      <c r="AU5" t="inlineStr">
        <is>
          <t>30997045:eng</t>
        </is>
      </c>
      <c r="AV5" t="inlineStr">
        <is>
          <t>3294488</t>
        </is>
      </c>
      <c r="AW5" t="inlineStr">
        <is>
          <t>991004399589702656</t>
        </is>
      </c>
      <c r="AX5" t="inlineStr">
        <is>
          <t>991004399589702656</t>
        </is>
      </c>
      <c r="AY5" t="inlineStr">
        <is>
          <t>2257153060002656</t>
        </is>
      </c>
      <c r="AZ5" t="inlineStr">
        <is>
          <t>BOOK</t>
        </is>
      </c>
      <c r="BB5" t="inlineStr">
        <is>
          <t>9780080215457</t>
        </is>
      </c>
      <c r="BC5" t="inlineStr">
        <is>
          <t>32285002120565</t>
        </is>
      </c>
      <c r="BD5" t="inlineStr">
        <is>
          <t>893253647</t>
        </is>
      </c>
    </row>
    <row r="6">
      <c r="A6" t="inlineStr">
        <is>
          <t>No</t>
        </is>
      </c>
      <c r="B6" t="inlineStr">
        <is>
          <t>RM184 .L8136</t>
        </is>
      </c>
      <c r="C6" t="inlineStr">
        <is>
          <t>0                      RM 0184000L  8136</t>
        </is>
      </c>
      <c r="D6" t="inlineStr">
        <is>
          <t>Celestial lancets : a history and rationale of acupuncture and moxa / by Lu Gwei-djen and Joseph Needham.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Lu, Gwei-Djen.</t>
        </is>
      </c>
      <c r="L6" t="inlineStr">
        <is>
          <t>Cambridge ; New York : Cambridge University Press, 1980.</t>
        </is>
      </c>
      <c r="M6" t="inlineStr">
        <is>
          <t>1980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RM </t>
        </is>
      </c>
      <c r="S6" t="n">
        <v>39</v>
      </c>
      <c r="T6" t="n">
        <v>39</v>
      </c>
      <c r="U6" t="inlineStr">
        <is>
          <t>2006-04-12</t>
        </is>
      </c>
      <c r="V6" t="inlineStr">
        <is>
          <t>2006-04-12</t>
        </is>
      </c>
      <c r="W6" t="inlineStr">
        <is>
          <t>1992-03-13</t>
        </is>
      </c>
      <c r="X6" t="inlineStr">
        <is>
          <t>1992-03-13</t>
        </is>
      </c>
      <c r="Y6" t="n">
        <v>227</v>
      </c>
      <c r="Z6" t="n">
        <v>138</v>
      </c>
      <c r="AA6" t="n">
        <v>190</v>
      </c>
      <c r="AB6" t="n">
        <v>1</v>
      </c>
      <c r="AC6" t="n">
        <v>1</v>
      </c>
      <c r="AD6" t="n">
        <v>4</v>
      </c>
      <c r="AE6" t="n">
        <v>4</v>
      </c>
      <c r="AF6" t="n">
        <v>0</v>
      </c>
      <c r="AG6" t="n">
        <v>0</v>
      </c>
      <c r="AH6" t="n">
        <v>2</v>
      </c>
      <c r="AI6" t="n">
        <v>2</v>
      </c>
      <c r="AJ6" t="n">
        <v>3</v>
      </c>
      <c r="AK6" t="n">
        <v>3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HYPERLINK("https://creighton-primo.hosted.exlibrisgroup.com/primo-explore/search?tab=default_tab&amp;search_scope=EVERYTHING&amp;vid=01CRU&amp;lang=en_US&amp;offset=0&amp;query=any,contains,991005056639702656","Catalog Record")</f>
        <v/>
      </c>
      <c r="AT6">
        <f>HYPERLINK("http://www.worldcat.org/oclc/6900543","WorldCat Record")</f>
        <v/>
      </c>
      <c r="AU6" t="inlineStr">
        <is>
          <t>503711:eng</t>
        </is>
      </c>
      <c r="AV6" t="inlineStr">
        <is>
          <t>6900543</t>
        </is>
      </c>
      <c r="AW6" t="inlineStr">
        <is>
          <t>991005056639702656</t>
        </is>
      </c>
      <c r="AX6" t="inlineStr">
        <is>
          <t>991005056639702656</t>
        </is>
      </c>
      <c r="AY6" t="inlineStr">
        <is>
          <t>2263623180002656</t>
        </is>
      </c>
      <c r="AZ6" t="inlineStr">
        <is>
          <t>BOOK</t>
        </is>
      </c>
      <c r="BB6" t="inlineStr">
        <is>
          <t>9780521215138</t>
        </is>
      </c>
      <c r="BC6" t="inlineStr">
        <is>
          <t>32285001020113</t>
        </is>
      </c>
      <c r="BD6" t="inlineStr">
        <is>
          <t>893688524</t>
        </is>
      </c>
    </row>
    <row r="7">
      <c r="A7" t="inlineStr">
        <is>
          <t>No</t>
        </is>
      </c>
      <c r="B7" t="inlineStr">
        <is>
          <t>RM214.3 .H65 1991</t>
        </is>
      </c>
      <c r="C7" t="inlineStr">
        <is>
          <t>0                      RM 0214300H  65          1991</t>
        </is>
      </c>
      <c r="D7" t="inlineStr">
        <is>
          <t>Communication and education skills : the dietitian's guide / Betsy B. Holli, Richard J. Calabrese.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Holli, Betsy B.</t>
        </is>
      </c>
      <c r="L7" t="inlineStr">
        <is>
          <t>Philadelphia : Lea &amp; Febiger, 1991.</t>
        </is>
      </c>
      <c r="M7" t="inlineStr">
        <is>
          <t>1991</t>
        </is>
      </c>
      <c r="N7" t="inlineStr">
        <is>
          <t>2nd ed.</t>
        </is>
      </c>
      <c r="O7" t="inlineStr">
        <is>
          <t>eng</t>
        </is>
      </c>
      <c r="P7" t="inlineStr">
        <is>
          <t>pau</t>
        </is>
      </c>
      <c r="R7" t="inlineStr">
        <is>
          <t xml:space="preserve">RM </t>
        </is>
      </c>
      <c r="S7" t="n">
        <v>3</v>
      </c>
      <c r="T7" t="n">
        <v>3</v>
      </c>
      <c r="U7" t="inlineStr">
        <is>
          <t>1996-11-05</t>
        </is>
      </c>
      <c r="V7" t="inlineStr">
        <is>
          <t>1996-11-05</t>
        </is>
      </c>
      <c r="W7" t="inlineStr">
        <is>
          <t>1991-05-13</t>
        </is>
      </c>
      <c r="X7" t="inlineStr">
        <is>
          <t>1991-05-13</t>
        </is>
      </c>
      <c r="Y7" t="n">
        <v>170</v>
      </c>
      <c r="Z7" t="n">
        <v>129</v>
      </c>
      <c r="AA7" t="n">
        <v>207</v>
      </c>
      <c r="AB7" t="n">
        <v>1</v>
      </c>
      <c r="AC7" t="n">
        <v>2</v>
      </c>
      <c r="AD7" t="n">
        <v>1</v>
      </c>
      <c r="AE7" t="n">
        <v>5</v>
      </c>
      <c r="AF7" t="n">
        <v>1</v>
      </c>
      <c r="AG7" t="n">
        <v>2</v>
      </c>
      <c r="AH7" t="n">
        <v>0</v>
      </c>
      <c r="AI7" t="n">
        <v>1</v>
      </c>
      <c r="AJ7" t="n">
        <v>0</v>
      </c>
      <c r="AK7" t="n">
        <v>1</v>
      </c>
      <c r="AL7" t="n">
        <v>0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HYPERLINK("http://catalog.hathitrust.org/Record/008996307","HathiTrust Record")</f>
        <v/>
      </c>
      <c r="AS7">
        <f>HYPERLINK("https://creighton-primo.hosted.exlibrisgroup.com/primo-explore/search?tab=default_tab&amp;search_scope=EVERYTHING&amp;vid=01CRU&amp;lang=en_US&amp;offset=0&amp;query=any,contains,991001797589702656","Catalog Record")</f>
        <v/>
      </c>
      <c r="AT7">
        <f>HYPERLINK("http://www.worldcat.org/oclc/22624094","WorldCat Record")</f>
        <v/>
      </c>
      <c r="AU7" t="inlineStr">
        <is>
          <t>6849602:eng</t>
        </is>
      </c>
      <c r="AV7" t="inlineStr">
        <is>
          <t>22624094</t>
        </is>
      </c>
      <c r="AW7" t="inlineStr">
        <is>
          <t>991001797589702656</t>
        </is>
      </c>
      <c r="AX7" t="inlineStr">
        <is>
          <t>991001797589702656</t>
        </is>
      </c>
      <c r="AY7" t="inlineStr">
        <is>
          <t>2271393190002656</t>
        </is>
      </c>
      <c r="AZ7" t="inlineStr">
        <is>
          <t>BOOK</t>
        </is>
      </c>
      <c r="BB7" t="inlineStr">
        <is>
          <t>9780812113860</t>
        </is>
      </c>
      <c r="BC7" t="inlineStr">
        <is>
          <t>32285000572270</t>
        </is>
      </c>
      <c r="BD7" t="inlineStr">
        <is>
          <t>893772916</t>
        </is>
      </c>
    </row>
    <row r="8">
      <c r="A8" t="inlineStr">
        <is>
          <t>No</t>
        </is>
      </c>
      <c r="B8" t="inlineStr">
        <is>
          <t>RM216 .K57</t>
        </is>
      </c>
      <c r="C8" t="inlineStr">
        <is>
          <t>0                      RM 0216000K  57</t>
        </is>
      </c>
      <c r="D8" t="inlineStr">
        <is>
          <t>Eat well &amp; stay well / by Ancel and Margaret Keys. Foreword by Paul Dudley White.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Keys, Ancel, 1904-2004.</t>
        </is>
      </c>
      <c r="L8" t="inlineStr">
        <is>
          <t>Garden City, N.Y. : Doubleday, 1959.</t>
        </is>
      </c>
      <c r="M8" t="inlineStr">
        <is>
          <t>1959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RM </t>
        </is>
      </c>
      <c r="S8" t="n">
        <v>17</v>
      </c>
      <c r="T8" t="n">
        <v>17</v>
      </c>
      <c r="U8" t="inlineStr">
        <is>
          <t>2008-04-16</t>
        </is>
      </c>
      <c r="V8" t="inlineStr">
        <is>
          <t>2008-04-16</t>
        </is>
      </c>
      <c r="W8" t="inlineStr">
        <is>
          <t>1992-04-15</t>
        </is>
      </c>
      <c r="X8" t="inlineStr">
        <is>
          <t>1992-04-15</t>
        </is>
      </c>
      <c r="Y8" t="n">
        <v>231</v>
      </c>
      <c r="Z8" t="n">
        <v>220</v>
      </c>
      <c r="AA8" t="n">
        <v>335</v>
      </c>
      <c r="AB8" t="n">
        <v>4</v>
      </c>
      <c r="AC8" t="n">
        <v>5</v>
      </c>
      <c r="AD8" t="n">
        <v>4</v>
      </c>
      <c r="AE8" t="n">
        <v>7</v>
      </c>
      <c r="AF8" t="n">
        <v>1</v>
      </c>
      <c r="AG8" t="n">
        <v>2</v>
      </c>
      <c r="AH8" t="n">
        <v>0</v>
      </c>
      <c r="AI8" t="n">
        <v>0</v>
      </c>
      <c r="AJ8" t="n">
        <v>0</v>
      </c>
      <c r="AK8" t="n">
        <v>1</v>
      </c>
      <c r="AL8" t="n">
        <v>3</v>
      </c>
      <c r="AM8" t="n">
        <v>4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HYPERLINK("https://creighton-primo.hosted.exlibrisgroup.com/primo-explore/search?tab=default_tab&amp;search_scope=EVERYTHING&amp;vid=01CRU&amp;lang=en_US&amp;offset=0&amp;query=any,contains,991003150759702656","Catalog Record")</f>
        <v/>
      </c>
      <c r="AT8">
        <f>HYPERLINK("http://www.worldcat.org/oclc/690072","WorldCat Record")</f>
        <v/>
      </c>
      <c r="AU8" t="inlineStr">
        <is>
          <t>104800964:eng</t>
        </is>
      </c>
      <c r="AV8" t="inlineStr">
        <is>
          <t>690072</t>
        </is>
      </c>
      <c r="AW8" t="inlineStr">
        <is>
          <t>991003150759702656</t>
        </is>
      </c>
      <c r="AX8" t="inlineStr">
        <is>
          <t>991003150759702656</t>
        </is>
      </c>
      <c r="AY8" t="inlineStr">
        <is>
          <t>2260629590002656</t>
        </is>
      </c>
      <c r="AZ8" t="inlineStr">
        <is>
          <t>BOOK</t>
        </is>
      </c>
      <c r="BC8" t="inlineStr">
        <is>
          <t>32285001061380</t>
        </is>
      </c>
      <c r="BD8" t="inlineStr">
        <is>
          <t>893893430</t>
        </is>
      </c>
    </row>
    <row r="9">
      <c r="A9" t="inlineStr">
        <is>
          <t>No</t>
        </is>
      </c>
      <c r="B9" t="inlineStr">
        <is>
          <t>RM216 .R833 1995</t>
        </is>
      </c>
      <c r="C9" t="inlineStr">
        <is>
          <t>0                      RM 0216000R  833         1995</t>
        </is>
      </c>
      <c r="D9" t="inlineStr">
        <is>
          <t>Doctor, what should I eat? : nutrition prescriptions for ailments in which diet can really make a difference / Isadore Rosenfeld.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Rosenfeld, Isadore.</t>
        </is>
      </c>
      <c r="L9" t="inlineStr">
        <is>
          <t>New York : Random House, 1995.</t>
        </is>
      </c>
      <c r="M9" t="inlineStr">
        <is>
          <t>1995</t>
        </is>
      </c>
      <c r="N9" t="inlineStr">
        <is>
          <t>1st ed.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RM </t>
        </is>
      </c>
      <c r="S9" t="n">
        <v>17</v>
      </c>
      <c r="T9" t="n">
        <v>17</v>
      </c>
      <c r="U9" t="inlineStr">
        <is>
          <t>1998-03-31</t>
        </is>
      </c>
      <c r="V9" t="inlineStr">
        <is>
          <t>1998-03-31</t>
        </is>
      </c>
      <c r="W9" t="inlineStr">
        <is>
          <t>1995-02-13</t>
        </is>
      </c>
      <c r="X9" t="inlineStr">
        <is>
          <t>1995-02-13</t>
        </is>
      </c>
      <c r="Y9" t="n">
        <v>891</v>
      </c>
      <c r="Z9" t="n">
        <v>855</v>
      </c>
      <c r="AA9" t="n">
        <v>947</v>
      </c>
      <c r="AB9" t="n">
        <v>9</v>
      </c>
      <c r="AC9" t="n">
        <v>9</v>
      </c>
      <c r="AD9" t="n">
        <v>4</v>
      </c>
      <c r="AE9" t="n">
        <v>5</v>
      </c>
      <c r="AF9" t="n">
        <v>2</v>
      </c>
      <c r="AG9" t="n">
        <v>2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HYPERLINK("https://creighton-primo.hosted.exlibrisgroup.com/primo-explore/search?tab=default_tab&amp;search_scope=EVERYTHING&amp;vid=01CRU&amp;lang=en_US&amp;offset=0&amp;query=any,contains,991002311629702656","Catalog Record")</f>
        <v/>
      </c>
      <c r="AT9">
        <f>HYPERLINK("http://www.worldcat.org/oclc/30025880","WorldCat Record")</f>
        <v/>
      </c>
      <c r="AU9" t="inlineStr">
        <is>
          <t>6495257:eng</t>
        </is>
      </c>
      <c r="AV9" t="inlineStr">
        <is>
          <t>30025880</t>
        </is>
      </c>
      <c r="AW9" t="inlineStr">
        <is>
          <t>991002311629702656</t>
        </is>
      </c>
      <c r="AX9" t="inlineStr">
        <is>
          <t>991002311629702656</t>
        </is>
      </c>
      <c r="AY9" t="inlineStr">
        <is>
          <t>2261868470002656</t>
        </is>
      </c>
      <c r="AZ9" t="inlineStr">
        <is>
          <t>BOOK</t>
        </is>
      </c>
      <c r="BB9" t="inlineStr">
        <is>
          <t>9780679428183</t>
        </is>
      </c>
      <c r="BC9" t="inlineStr">
        <is>
          <t>32285001998268</t>
        </is>
      </c>
      <c r="BD9" t="inlineStr">
        <is>
          <t>893504270</t>
        </is>
      </c>
    </row>
    <row r="10">
      <c r="A10" t="inlineStr">
        <is>
          <t>No</t>
        </is>
      </c>
      <c r="B10" t="inlineStr">
        <is>
          <t>RM216 .S725 1992</t>
        </is>
      </c>
      <c r="C10" t="inlineStr">
        <is>
          <t>0                      RM 0216000S  725         1992</t>
        </is>
      </c>
      <c r="D10" t="inlineStr">
        <is>
          <t>Nutrition and diet therapy : self-instructional modules / Peggy S. Stanfield ; with the special assistance of Y.H. Hui.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Stanfield, Peggy.</t>
        </is>
      </c>
      <c r="L10" t="inlineStr">
        <is>
          <t>Boston : Jones and Bartlett, c1992.</t>
        </is>
      </c>
      <c r="M10" t="inlineStr">
        <is>
          <t>1992</t>
        </is>
      </c>
      <c r="N10" t="inlineStr">
        <is>
          <t>2nd ed.</t>
        </is>
      </c>
      <c r="O10" t="inlineStr">
        <is>
          <t>eng</t>
        </is>
      </c>
      <c r="P10" t="inlineStr">
        <is>
          <t>mau</t>
        </is>
      </c>
      <c r="Q10" t="inlineStr">
        <is>
          <t>The Jones and Bartlett series in health sciences</t>
        </is>
      </c>
      <c r="R10" t="inlineStr">
        <is>
          <t xml:space="preserve">RM </t>
        </is>
      </c>
      <c r="S10" t="n">
        <v>24</v>
      </c>
      <c r="T10" t="n">
        <v>24</v>
      </c>
      <c r="U10" t="inlineStr">
        <is>
          <t>2002-09-06</t>
        </is>
      </c>
      <c r="V10" t="inlineStr">
        <is>
          <t>2002-09-06</t>
        </is>
      </c>
      <c r="W10" t="inlineStr">
        <is>
          <t>1995-05-31</t>
        </is>
      </c>
      <c r="X10" t="inlineStr">
        <is>
          <t>1995-05-31</t>
        </is>
      </c>
      <c r="Y10" t="n">
        <v>91</v>
      </c>
      <c r="Z10" t="n">
        <v>76</v>
      </c>
      <c r="AA10" t="n">
        <v>346</v>
      </c>
      <c r="AB10" t="n">
        <v>1</v>
      </c>
      <c r="AC10" t="n">
        <v>2</v>
      </c>
      <c r="AD10" t="n">
        <v>1</v>
      </c>
      <c r="AE10" t="n">
        <v>9</v>
      </c>
      <c r="AF10" t="n">
        <v>1</v>
      </c>
      <c r="AG10" t="n">
        <v>5</v>
      </c>
      <c r="AH10" t="n">
        <v>0</v>
      </c>
      <c r="AI10" t="n">
        <v>2</v>
      </c>
      <c r="AJ10" t="n">
        <v>0</v>
      </c>
      <c r="AK10" t="n">
        <v>4</v>
      </c>
      <c r="AL10" t="n">
        <v>0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HYPERLINK("https://creighton-primo.hosted.exlibrisgroup.com/primo-explore/search?tab=default_tab&amp;search_scope=EVERYTHING&amp;vid=01CRU&amp;lang=en_US&amp;offset=0&amp;query=any,contains,991001981099702656","Catalog Record")</f>
        <v/>
      </c>
      <c r="AT10">
        <f>HYPERLINK("http://www.worldcat.org/oclc/25131614","WorldCat Record")</f>
        <v/>
      </c>
      <c r="AU10" t="inlineStr">
        <is>
          <t>758282:eng</t>
        </is>
      </c>
      <c r="AV10" t="inlineStr">
        <is>
          <t>25131614</t>
        </is>
      </c>
      <c r="AW10" t="inlineStr">
        <is>
          <t>991001981099702656</t>
        </is>
      </c>
      <c r="AX10" t="inlineStr">
        <is>
          <t>991001981099702656</t>
        </is>
      </c>
      <c r="AY10" t="inlineStr">
        <is>
          <t>2271173410002656</t>
        </is>
      </c>
      <c r="AZ10" t="inlineStr">
        <is>
          <t>BOOK</t>
        </is>
      </c>
      <c r="BB10" t="inlineStr">
        <is>
          <t>9780867203363</t>
        </is>
      </c>
      <c r="BC10" t="inlineStr">
        <is>
          <t>32285002047594</t>
        </is>
      </c>
      <c r="BD10" t="inlineStr">
        <is>
          <t>893609326</t>
        </is>
      </c>
    </row>
    <row r="11">
      <c r="A11" t="inlineStr">
        <is>
          <t>No</t>
        </is>
      </c>
      <c r="B11" t="inlineStr">
        <is>
          <t>RM218 .S4</t>
        </is>
      </c>
      <c r="C11" t="inlineStr">
        <is>
          <t>0                      RM 0218000S  4</t>
        </is>
      </c>
      <c r="D11" t="inlineStr">
        <is>
          <t>Clinical studies in nutrition.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Sense, Eleanora.</t>
        </is>
      </c>
      <c r="L11" t="inlineStr">
        <is>
          <t>Philadelphia, Lippincott [1960]</t>
        </is>
      </c>
      <c r="M11" t="inlineStr">
        <is>
          <t>1960</t>
        </is>
      </c>
      <c r="O11" t="inlineStr">
        <is>
          <t>eng</t>
        </is>
      </c>
      <c r="P11" t="inlineStr">
        <is>
          <t>pau</t>
        </is>
      </c>
      <c r="R11" t="inlineStr">
        <is>
          <t xml:space="preserve">RM </t>
        </is>
      </c>
      <c r="S11" t="n">
        <v>4</v>
      </c>
      <c r="T11" t="n">
        <v>4</v>
      </c>
      <c r="U11" t="inlineStr">
        <is>
          <t>2006-11-27</t>
        </is>
      </c>
      <c r="V11" t="inlineStr">
        <is>
          <t>2006-11-27</t>
        </is>
      </c>
      <c r="W11" t="inlineStr">
        <is>
          <t>1997-11-05</t>
        </is>
      </c>
      <c r="X11" t="inlineStr">
        <is>
          <t>1997-11-05</t>
        </is>
      </c>
      <c r="Y11" t="n">
        <v>124</v>
      </c>
      <c r="Z11" t="n">
        <v>104</v>
      </c>
      <c r="AA11" t="n">
        <v>106</v>
      </c>
      <c r="AB11" t="n">
        <v>1</v>
      </c>
      <c r="AC11" t="n">
        <v>1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R11">
        <f>HYPERLINK("http://catalog.hathitrust.org/Record/001572770","HathiTrust Record")</f>
        <v/>
      </c>
      <c r="AS11">
        <f>HYPERLINK("https://creighton-primo.hosted.exlibrisgroup.com/primo-explore/search?tab=default_tab&amp;search_scope=EVERYTHING&amp;vid=01CRU&amp;lang=en_US&amp;offset=0&amp;query=any,contains,991003713009702656","Catalog Record")</f>
        <v/>
      </c>
      <c r="AT11">
        <f>HYPERLINK("http://www.worldcat.org/oclc/1355376","WorldCat Record")</f>
        <v/>
      </c>
      <c r="AU11" t="inlineStr">
        <is>
          <t>2252171:eng</t>
        </is>
      </c>
      <c r="AV11" t="inlineStr">
        <is>
          <t>1355376</t>
        </is>
      </c>
      <c r="AW11" t="inlineStr">
        <is>
          <t>991003713009702656</t>
        </is>
      </c>
      <c r="AX11" t="inlineStr">
        <is>
          <t>991003713009702656</t>
        </is>
      </c>
      <c r="AY11" t="inlineStr">
        <is>
          <t>2272427340002656</t>
        </is>
      </c>
      <c r="AZ11" t="inlineStr">
        <is>
          <t>BOOK</t>
        </is>
      </c>
      <c r="BC11" t="inlineStr">
        <is>
          <t>32285003276598</t>
        </is>
      </c>
      <c r="BD11" t="inlineStr">
        <is>
          <t>893349046</t>
        </is>
      </c>
    </row>
    <row r="12">
      <c r="A12" t="inlineStr">
        <is>
          <t>No</t>
        </is>
      </c>
      <c r="B12" t="inlineStr">
        <is>
          <t>RM219 .M325 1971</t>
        </is>
      </c>
      <c r="C12" t="inlineStr">
        <is>
          <t>0                      RM 0219000M  325         1971</t>
        </is>
      </c>
      <c r="D12" t="inlineStr">
        <is>
          <t>Mayo Clinic diet manual.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Mayo Clinic. Committee on Dietetics.</t>
        </is>
      </c>
      <c r="L12" t="inlineStr">
        <is>
          <t>Philadelphia : Saunders, 1971.</t>
        </is>
      </c>
      <c r="M12" t="inlineStr">
        <is>
          <t>1971</t>
        </is>
      </c>
      <c r="N12" t="inlineStr">
        <is>
          <t>4th ed.</t>
        </is>
      </c>
      <c r="O12" t="inlineStr">
        <is>
          <t>eng</t>
        </is>
      </c>
      <c r="P12" t="inlineStr">
        <is>
          <t>pau</t>
        </is>
      </c>
      <c r="R12" t="inlineStr">
        <is>
          <t xml:space="preserve">RM </t>
        </is>
      </c>
      <c r="S12" t="n">
        <v>6</v>
      </c>
      <c r="T12" t="n">
        <v>6</v>
      </c>
      <c r="U12" t="inlineStr">
        <is>
          <t>2006-11-27</t>
        </is>
      </c>
      <c r="V12" t="inlineStr">
        <is>
          <t>2006-11-27</t>
        </is>
      </c>
      <c r="W12" t="inlineStr">
        <is>
          <t>1995-08-03</t>
        </is>
      </c>
      <c r="X12" t="inlineStr">
        <is>
          <t>1995-08-03</t>
        </is>
      </c>
      <c r="Y12" t="n">
        <v>279</v>
      </c>
      <c r="Z12" t="n">
        <v>237</v>
      </c>
      <c r="AA12" t="n">
        <v>336</v>
      </c>
      <c r="AB12" t="n">
        <v>1</v>
      </c>
      <c r="AC12" t="n">
        <v>1</v>
      </c>
      <c r="AD12" t="n">
        <v>6</v>
      </c>
      <c r="AE12" t="n">
        <v>8</v>
      </c>
      <c r="AF12" t="n">
        <v>4</v>
      </c>
      <c r="AG12" t="n">
        <v>5</v>
      </c>
      <c r="AH12" t="n">
        <v>0</v>
      </c>
      <c r="AI12" t="n">
        <v>1</v>
      </c>
      <c r="AJ12" t="n">
        <v>4</v>
      </c>
      <c r="AK12" t="n">
        <v>4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HYPERLINK("http://catalog.hathitrust.org/Record/001572782","HathiTrust Record")</f>
        <v/>
      </c>
      <c r="AS12">
        <f>HYPERLINK("https://creighton-primo.hosted.exlibrisgroup.com/primo-explore/search?tab=default_tab&amp;search_scope=EVERYTHING&amp;vid=01CRU&amp;lang=en_US&amp;offset=0&amp;query=any,contains,991005264249702656","Catalog Record")</f>
        <v/>
      </c>
      <c r="AT12">
        <f>HYPERLINK("http://www.worldcat.org/oclc/114441","WorldCat Record")</f>
        <v/>
      </c>
      <c r="AU12" t="inlineStr">
        <is>
          <t>1230623:eng</t>
        </is>
      </c>
      <c r="AV12" t="inlineStr">
        <is>
          <t>114441</t>
        </is>
      </c>
      <c r="AW12" t="inlineStr">
        <is>
          <t>991005264249702656</t>
        </is>
      </c>
      <c r="AX12" t="inlineStr">
        <is>
          <t>991005264249702656</t>
        </is>
      </c>
      <c r="AY12" t="inlineStr">
        <is>
          <t>2259901730002656</t>
        </is>
      </c>
      <c r="AZ12" t="inlineStr">
        <is>
          <t>BOOK</t>
        </is>
      </c>
      <c r="BB12" t="inlineStr">
        <is>
          <t>9780721662114</t>
        </is>
      </c>
      <c r="BC12" t="inlineStr">
        <is>
          <t>32285002061785</t>
        </is>
      </c>
      <c r="BD12" t="inlineStr">
        <is>
          <t>893443684</t>
        </is>
      </c>
    </row>
    <row r="13">
      <c r="A13" t="inlineStr">
        <is>
          <t>No</t>
        </is>
      </c>
      <c r="B13" t="inlineStr">
        <is>
          <t>RM222.2 .B39 1978</t>
        </is>
      </c>
      <c r="C13" t="inlineStr">
        <is>
          <t>0                      RM 0222200B  39          1978</t>
        </is>
      </c>
      <c r="D13" t="inlineStr">
        <is>
          <t>The thin game / by Edwin Bayrd ; in consultation with Clifford F. Gastineau and Edwin Bayrd.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Bayrd, Ned.</t>
        </is>
      </c>
      <c r="L13" t="inlineStr">
        <is>
          <t>New York : Newsweek Books, c1978.</t>
        </is>
      </c>
      <c r="M13" t="inlineStr">
        <is>
          <t>1978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RM </t>
        </is>
      </c>
      <c r="S13" t="n">
        <v>11</v>
      </c>
      <c r="T13" t="n">
        <v>11</v>
      </c>
      <c r="U13" t="inlineStr">
        <is>
          <t>2010-11-28</t>
        </is>
      </c>
      <c r="V13" t="inlineStr">
        <is>
          <t>2010-11-28</t>
        </is>
      </c>
      <c r="W13" t="inlineStr">
        <is>
          <t>1990-03-20</t>
        </is>
      </c>
      <c r="X13" t="inlineStr">
        <is>
          <t>1990-03-20</t>
        </is>
      </c>
      <c r="Y13" t="n">
        <v>220</v>
      </c>
      <c r="Z13" t="n">
        <v>214</v>
      </c>
      <c r="AA13" t="n">
        <v>226</v>
      </c>
      <c r="AB13" t="n">
        <v>3</v>
      </c>
      <c r="AC13" t="n">
        <v>3</v>
      </c>
      <c r="AD13" t="n">
        <v>1</v>
      </c>
      <c r="AE13" t="n">
        <v>1</v>
      </c>
      <c r="AF13" t="n">
        <v>1</v>
      </c>
      <c r="AG13" t="n">
        <v>1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HYPERLINK("https://creighton-primo.hosted.exlibrisgroup.com/primo-explore/search?tab=default_tab&amp;search_scope=EVERYTHING&amp;vid=01CRU&amp;lang=en_US&amp;offset=0&amp;query=any,contains,991004464259702656","Catalog Record")</f>
        <v/>
      </c>
      <c r="AT13">
        <f>HYPERLINK("http://www.worldcat.org/oclc/3559594","WorldCat Record")</f>
        <v/>
      </c>
      <c r="AU13" t="inlineStr">
        <is>
          <t>4494915784:eng</t>
        </is>
      </c>
      <c r="AV13" t="inlineStr">
        <is>
          <t>3559594</t>
        </is>
      </c>
      <c r="AW13" t="inlineStr">
        <is>
          <t>991004464259702656</t>
        </is>
      </c>
      <c r="AX13" t="inlineStr">
        <is>
          <t>991004464259702656</t>
        </is>
      </c>
      <c r="AY13" t="inlineStr">
        <is>
          <t>2264194300002656</t>
        </is>
      </c>
      <c r="AZ13" t="inlineStr">
        <is>
          <t>BOOK</t>
        </is>
      </c>
      <c r="BB13" t="inlineStr">
        <is>
          <t>9780882252551</t>
        </is>
      </c>
      <c r="BC13" t="inlineStr">
        <is>
          <t>32285000088640</t>
        </is>
      </c>
      <c r="BD13" t="inlineStr">
        <is>
          <t>893882500</t>
        </is>
      </c>
    </row>
    <row r="14">
      <c r="A14" t="inlineStr">
        <is>
          <t>No</t>
        </is>
      </c>
      <c r="B14" t="inlineStr">
        <is>
          <t>RM222.2 .B46</t>
        </is>
      </c>
      <c r="C14" t="inlineStr">
        <is>
          <t>0                      RM 0222200B  46</t>
        </is>
      </c>
      <c r="D14" t="inlineStr">
        <is>
          <t>Diet book.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Better homes and gardens.</t>
        </is>
      </c>
      <c r="L14" t="inlineStr">
        <is>
          <t>Des Moines : Meredith Pub. Co., 1955.</t>
        </is>
      </c>
      <c r="M14" t="inlineStr">
        <is>
          <t>1955</t>
        </is>
      </c>
      <c r="O14" t="inlineStr">
        <is>
          <t>eng</t>
        </is>
      </c>
      <c r="P14" t="inlineStr">
        <is>
          <t>___</t>
        </is>
      </c>
      <c r="R14" t="inlineStr">
        <is>
          <t xml:space="preserve">RM </t>
        </is>
      </c>
      <c r="S14" t="n">
        <v>6</v>
      </c>
      <c r="T14" t="n">
        <v>6</v>
      </c>
      <c r="U14" t="inlineStr">
        <is>
          <t>2006-04-11</t>
        </is>
      </c>
      <c r="V14" t="inlineStr">
        <is>
          <t>2006-04-11</t>
        </is>
      </c>
      <c r="W14" t="inlineStr">
        <is>
          <t>1992-02-26</t>
        </is>
      </c>
      <c r="X14" t="inlineStr">
        <is>
          <t>1992-02-26</t>
        </is>
      </c>
      <c r="Y14" t="n">
        <v>70</v>
      </c>
      <c r="Z14" t="n">
        <v>68</v>
      </c>
      <c r="AA14" t="n">
        <v>69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HYPERLINK("http://catalog.hathitrust.org/Record/009112868","HathiTrust Record")</f>
        <v/>
      </c>
      <c r="AS14">
        <f>HYPERLINK("https://creighton-primo.hosted.exlibrisgroup.com/primo-explore/search?tab=default_tab&amp;search_scope=EVERYTHING&amp;vid=01CRU&amp;lang=en_US&amp;offset=0&amp;query=any,contains,991003755789702656","Catalog Record")</f>
        <v/>
      </c>
      <c r="AT14">
        <f>HYPERLINK("http://www.worldcat.org/oclc/1435990","WorldCat Record")</f>
        <v/>
      </c>
      <c r="AU14" t="inlineStr">
        <is>
          <t>1806381209:eng</t>
        </is>
      </c>
      <c r="AV14" t="inlineStr">
        <is>
          <t>1435990</t>
        </is>
      </c>
      <c r="AW14" t="inlineStr">
        <is>
          <t>991003755789702656</t>
        </is>
      </c>
      <c r="AX14" t="inlineStr">
        <is>
          <t>991003755789702656</t>
        </is>
      </c>
      <c r="AY14" t="inlineStr">
        <is>
          <t>2270518950002656</t>
        </is>
      </c>
      <c r="AZ14" t="inlineStr">
        <is>
          <t>BOOK</t>
        </is>
      </c>
      <c r="BC14" t="inlineStr">
        <is>
          <t>32285000978188</t>
        </is>
      </c>
      <c r="BD14" t="inlineStr">
        <is>
          <t>893699366</t>
        </is>
      </c>
    </row>
    <row r="15">
      <c r="A15" t="inlineStr">
        <is>
          <t>No</t>
        </is>
      </c>
      <c r="B15" t="inlineStr">
        <is>
          <t>RM222.2 .B47 1980</t>
        </is>
      </c>
      <c r="C15" t="inlineStr">
        <is>
          <t>0                      RM 0222200B  47          1980</t>
        </is>
      </c>
      <c r="D15" t="inlineStr">
        <is>
          <t>Rating the diets / by the editors of Consumer Guide® and Theodore Berland.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Berland, Theodore, 1929-</t>
        </is>
      </c>
      <c r="L15" t="inlineStr">
        <is>
          <t>New York : Beekman House, 1980.</t>
        </is>
      </c>
      <c r="M15" t="inlineStr">
        <is>
          <t>1980</t>
        </is>
      </c>
      <c r="O15" t="inlineStr">
        <is>
          <t>eng</t>
        </is>
      </c>
      <c r="P15" t="inlineStr">
        <is>
          <t xml:space="preserve">xx </t>
        </is>
      </c>
      <c r="R15" t="inlineStr">
        <is>
          <t xml:space="preserve">RM </t>
        </is>
      </c>
      <c r="S15" t="n">
        <v>20</v>
      </c>
      <c r="T15" t="n">
        <v>20</v>
      </c>
      <c r="U15" t="inlineStr">
        <is>
          <t>2006-11-27</t>
        </is>
      </c>
      <c r="V15" t="inlineStr">
        <is>
          <t>2006-11-27</t>
        </is>
      </c>
      <c r="W15" t="inlineStr">
        <is>
          <t>1990-03-20</t>
        </is>
      </c>
      <c r="X15" t="inlineStr">
        <is>
          <t>1990-03-20</t>
        </is>
      </c>
      <c r="Y15" t="n">
        <v>132</v>
      </c>
      <c r="Z15" t="n">
        <v>123</v>
      </c>
      <c r="AA15" t="n">
        <v>683</v>
      </c>
      <c r="AB15" t="n">
        <v>1</v>
      </c>
      <c r="AC15" t="n">
        <v>3</v>
      </c>
      <c r="AD15" t="n">
        <v>0</v>
      </c>
      <c r="AE15" t="n">
        <v>3</v>
      </c>
      <c r="AF15" t="n">
        <v>0</v>
      </c>
      <c r="AG15" t="n">
        <v>0</v>
      </c>
      <c r="AH15" t="n">
        <v>0</v>
      </c>
      <c r="AI15" t="n">
        <v>1</v>
      </c>
      <c r="AJ15" t="n">
        <v>0</v>
      </c>
      <c r="AK15" t="n">
        <v>1</v>
      </c>
      <c r="AL15" t="n">
        <v>0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HYPERLINK("https://creighton-primo.hosted.exlibrisgroup.com/primo-explore/search?tab=default_tab&amp;search_scope=EVERYTHING&amp;vid=01CRU&amp;lang=en_US&amp;offset=0&amp;query=any,contains,991005045629702656","Catalog Record")</f>
        <v/>
      </c>
      <c r="AT15">
        <f>HYPERLINK("http://www.worldcat.org/oclc/6828069","WorldCat Record")</f>
        <v/>
      </c>
      <c r="AU15" t="inlineStr">
        <is>
          <t>498203:eng</t>
        </is>
      </c>
      <c r="AV15" t="inlineStr">
        <is>
          <t>6828069</t>
        </is>
      </c>
      <c r="AW15" t="inlineStr">
        <is>
          <t>991005045629702656</t>
        </is>
      </c>
      <c r="AX15" t="inlineStr">
        <is>
          <t>991005045629702656</t>
        </is>
      </c>
      <c r="AY15" t="inlineStr">
        <is>
          <t>2266875280002656</t>
        </is>
      </c>
      <c r="AZ15" t="inlineStr">
        <is>
          <t>BOOK</t>
        </is>
      </c>
      <c r="BC15" t="inlineStr">
        <is>
          <t>32285000088657</t>
        </is>
      </c>
      <c r="BD15" t="inlineStr">
        <is>
          <t>893795529</t>
        </is>
      </c>
    </row>
    <row r="16">
      <c r="A16" t="inlineStr">
        <is>
          <t>No</t>
        </is>
      </c>
      <c r="B16" t="inlineStr">
        <is>
          <t>RM222.2 .B785 1980</t>
        </is>
      </c>
      <c r="C16" t="inlineStr">
        <is>
          <t>0                      RM 0222200B  785         1980</t>
        </is>
      </c>
      <c r="D16" t="inlineStr">
        <is>
          <t>The partnership diet program : the do-it-together pounds-off program that doesn't feel like a diet / Kelly D. Brownell, with Irene Copeland.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Brownell, Kelly D.</t>
        </is>
      </c>
      <c r="L16" t="inlineStr">
        <is>
          <t>New York : Rawson, Wade, c1980.</t>
        </is>
      </c>
      <c r="M16" t="inlineStr">
        <is>
          <t>1980</t>
        </is>
      </c>
      <c r="N16" t="inlineStr">
        <is>
          <t>1st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RM </t>
        </is>
      </c>
      <c r="S16" t="n">
        <v>5</v>
      </c>
      <c r="T16" t="n">
        <v>5</v>
      </c>
      <c r="U16" t="inlineStr">
        <is>
          <t>2004-03-30</t>
        </is>
      </c>
      <c r="V16" t="inlineStr">
        <is>
          <t>2004-03-30</t>
        </is>
      </c>
      <c r="W16" t="inlineStr">
        <is>
          <t>1992-02-26</t>
        </is>
      </c>
      <c r="X16" t="inlineStr">
        <is>
          <t>1992-02-26</t>
        </is>
      </c>
      <c r="Y16" t="n">
        <v>148</v>
      </c>
      <c r="Z16" t="n">
        <v>144</v>
      </c>
      <c r="AA16" t="n">
        <v>144</v>
      </c>
      <c r="AB16" t="n">
        <v>1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HYPERLINK("https://creighton-primo.hosted.exlibrisgroup.com/primo-explore/search?tab=default_tab&amp;search_scope=EVERYTHING&amp;vid=01CRU&amp;lang=en_US&amp;offset=0&amp;query=any,contains,991004822149702656","Catalog Record")</f>
        <v/>
      </c>
      <c r="AT16">
        <f>HYPERLINK("http://www.worldcat.org/oclc/5336732","WorldCat Record")</f>
        <v/>
      </c>
      <c r="AU16" t="inlineStr">
        <is>
          <t>17876734:eng</t>
        </is>
      </c>
      <c r="AV16" t="inlineStr">
        <is>
          <t>5336732</t>
        </is>
      </c>
      <c r="AW16" t="inlineStr">
        <is>
          <t>991004822149702656</t>
        </is>
      </c>
      <c r="AX16" t="inlineStr">
        <is>
          <t>991004822149702656</t>
        </is>
      </c>
      <c r="AY16" t="inlineStr">
        <is>
          <t>2265356470002656</t>
        </is>
      </c>
      <c r="AZ16" t="inlineStr">
        <is>
          <t>BOOK</t>
        </is>
      </c>
      <c r="BB16" t="inlineStr">
        <is>
          <t>9780892561032</t>
        </is>
      </c>
      <c r="BC16" t="inlineStr">
        <is>
          <t>32285000978170</t>
        </is>
      </c>
      <c r="BD16" t="inlineStr">
        <is>
          <t>893719418</t>
        </is>
      </c>
    </row>
    <row r="17">
      <c r="A17" t="inlineStr">
        <is>
          <t>No</t>
        </is>
      </c>
      <c r="B17" t="inlineStr">
        <is>
          <t>RM222.2 .E278 1988</t>
        </is>
      </c>
      <c r="C17" t="inlineStr">
        <is>
          <t>0                      RM 0222200E  278         1988</t>
        </is>
      </c>
      <c r="D17" t="inlineStr">
        <is>
          <t>Weight loss to super wellness / Ted L. Edwards, Jr.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Edwards, Ted L.</t>
        </is>
      </c>
      <c r="L17" t="inlineStr">
        <is>
          <t>Champaign, Ill. : Life Enhancement Publications, c1988.</t>
        </is>
      </c>
      <c r="M17" t="inlineStr">
        <is>
          <t>1988</t>
        </is>
      </c>
      <c r="N17" t="inlineStr">
        <is>
          <t>2nd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RM </t>
        </is>
      </c>
      <c r="S17" t="n">
        <v>27</v>
      </c>
      <c r="T17" t="n">
        <v>27</v>
      </c>
      <c r="U17" t="inlineStr">
        <is>
          <t>2008-02-21</t>
        </is>
      </c>
      <c r="V17" t="inlineStr">
        <is>
          <t>2008-02-21</t>
        </is>
      </c>
      <c r="W17" t="inlineStr">
        <is>
          <t>1992-02-27</t>
        </is>
      </c>
      <c r="X17" t="inlineStr">
        <is>
          <t>1992-02-27</t>
        </is>
      </c>
      <c r="Y17" t="n">
        <v>169</v>
      </c>
      <c r="Z17" t="n">
        <v>139</v>
      </c>
      <c r="AA17" t="n">
        <v>145</v>
      </c>
      <c r="AB17" t="n">
        <v>2</v>
      </c>
      <c r="AC17" t="n">
        <v>2</v>
      </c>
      <c r="AD17" t="n">
        <v>1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HYPERLINK("https://creighton-primo.hosted.exlibrisgroup.com/primo-explore/search?tab=default_tab&amp;search_scope=EVERYTHING&amp;vid=01CRU&amp;lang=en_US&amp;offset=0&amp;query=any,contains,991001180049702656","Catalog Record")</f>
        <v/>
      </c>
      <c r="AT17">
        <f>HYPERLINK("http://www.worldcat.org/oclc/17107398","WorldCat Record")</f>
        <v/>
      </c>
      <c r="AU17" t="inlineStr">
        <is>
          <t>13222482:eng</t>
        </is>
      </c>
      <c r="AV17" t="inlineStr">
        <is>
          <t>17107398</t>
        </is>
      </c>
      <c r="AW17" t="inlineStr">
        <is>
          <t>991001180049702656</t>
        </is>
      </c>
      <c r="AX17" t="inlineStr">
        <is>
          <t>991001180049702656</t>
        </is>
      </c>
      <c r="AY17" t="inlineStr">
        <is>
          <t>2257762790002656</t>
        </is>
      </c>
      <c r="AZ17" t="inlineStr">
        <is>
          <t>BOOK</t>
        </is>
      </c>
      <c r="BB17" t="inlineStr">
        <is>
          <t>9780873229241</t>
        </is>
      </c>
      <c r="BC17" t="inlineStr">
        <is>
          <t>32285000978386</t>
        </is>
      </c>
      <c r="BD17" t="inlineStr">
        <is>
          <t>893225660</t>
        </is>
      </c>
    </row>
    <row r="18">
      <c r="A18" t="inlineStr">
        <is>
          <t>No</t>
        </is>
      </c>
      <c r="B18" t="inlineStr">
        <is>
          <t>RM222.2 .G32 1996</t>
        </is>
      </c>
      <c r="C18" t="inlineStr">
        <is>
          <t>0                      RM 0222200G  32          1996</t>
        </is>
      </c>
      <c r="D18" t="inlineStr">
        <is>
          <t>Big fat lies : the truth about your weight and your health / Glenn A. Gaesser.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Gaesser, Glenn A. (Glenn Alan)</t>
        </is>
      </c>
      <c r="L18" t="inlineStr">
        <is>
          <t>New York : Fawcett Columbine, 1996.</t>
        </is>
      </c>
      <c r="M18" t="inlineStr">
        <is>
          <t>1996</t>
        </is>
      </c>
      <c r="N18" t="inlineStr">
        <is>
          <t>1st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RM </t>
        </is>
      </c>
      <c r="S18" t="n">
        <v>34</v>
      </c>
      <c r="T18" t="n">
        <v>34</v>
      </c>
      <c r="U18" t="inlineStr">
        <is>
          <t>2007-10-10</t>
        </is>
      </c>
      <c r="V18" t="inlineStr">
        <is>
          <t>2007-10-10</t>
        </is>
      </c>
      <c r="W18" t="inlineStr">
        <is>
          <t>1996-10-22</t>
        </is>
      </c>
      <c r="X18" t="inlineStr">
        <is>
          <t>1996-10-22</t>
        </is>
      </c>
      <c r="Y18" t="n">
        <v>300</v>
      </c>
      <c r="Z18" t="n">
        <v>270</v>
      </c>
      <c r="AA18" t="n">
        <v>531</v>
      </c>
      <c r="AB18" t="n">
        <v>2</v>
      </c>
      <c r="AC18" t="n">
        <v>3</v>
      </c>
      <c r="AD18" t="n">
        <v>2</v>
      </c>
      <c r="AE18" t="n">
        <v>11</v>
      </c>
      <c r="AF18" t="n">
        <v>1</v>
      </c>
      <c r="AG18" t="n">
        <v>5</v>
      </c>
      <c r="AH18" t="n">
        <v>0</v>
      </c>
      <c r="AI18" t="n">
        <v>3</v>
      </c>
      <c r="AJ18" t="n">
        <v>0</v>
      </c>
      <c r="AK18" t="n">
        <v>2</v>
      </c>
      <c r="AL18" t="n">
        <v>1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HYPERLINK("https://creighton-primo.hosted.exlibrisgroup.com/primo-explore/search?tab=default_tab&amp;search_scope=EVERYTHING&amp;vid=01CRU&amp;lang=en_US&amp;offset=0&amp;query=any,contains,991002708029702656","Catalog Record")</f>
        <v/>
      </c>
      <c r="AT18">
        <f>HYPERLINK("http://www.worldcat.org/oclc/35366380","WorldCat Record")</f>
        <v/>
      </c>
      <c r="AU18" t="inlineStr">
        <is>
          <t>838657253:eng</t>
        </is>
      </c>
      <c r="AV18" t="inlineStr">
        <is>
          <t>35366380</t>
        </is>
      </c>
      <c r="AW18" t="inlineStr">
        <is>
          <t>991002708029702656</t>
        </is>
      </c>
      <c r="AX18" t="inlineStr">
        <is>
          <t>991002708029702656</t>
        </is>
      </c>
      <c r="AY18" t="inlineStr">
        <is>
          <t>2264308650002656</t>
        </is>
      </c>
      <c r="AZ18" t="inlineStr">
        <is>
          <t>BOOK</t>
        </is>
      </c>
      <c r="BB18" t="inlineStr">
        <is>
          <t>9780449909416</t>
        </is>
      </c>
      <c r="BC18" t="inlineStr">
        <is>
          <t>32285002367489</t>
        </is>
      </c>
      <c r="BD18" t="inlineStr">
        <is>
          <t>893867590</t>
        </is>
      </c>
    </row>
    <row r="19">
      <c r="A19" t="inlineStr">
        <is>
          <t>No</t>
        </is>
      </c>
      <c r="B19" t="inlineStr">
        <is>
          <t>RM222.2 .J43</t>
        </is>
      </c>
      <c r="C19" t="inlineStr">
        <is>
          <t>0                      RM 0222200J  43</t>
        </is>
      </c>
      <c r="D19" t="inlineStr">
        <is>
          <t>Take it off and keep it off : a behavioral program for weight loss and healthy living / D. Balfour Jeffrey, Roger C. Katz. --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Jeffrey, D. Balfour.</t>
        </is>
      </c>
      <c r="L19" t="inlineStr">
        <is>
          <t>Englewood Cliffs, N.J. : Prentice-Hall, c1977.</t>
        </is>
      </c>
      <c r="M19" t="inlineStr">
        <is>
          <t>1977</t>
        </is>
      </c>
      <c r="O19" t="inlineStr">
        <is>
          <t>eng</t>
        </is>
      </c>
      <c r="P19" t="inlineStr">
        <is>
          <t>nju</t>
        </is>
      </c>
      <c r="Q19" t="inlineStr">
        <is>
          <t>A Spectrum book</t>
        </is>
      </c>
      <c r="R19" t="inlineStr">
        <is>
          <t xml:space="preserve">RM </t>
        </is>
      </c>
      <c r="S19" t="n">
        <v>7</v>
      </c>
      <c r="T19" t="n">
        <v>7</v>
      </c>
      <c r="U19" t="inlineStr">
        <is>
          <t>1998-03-24</t>
        </is>
      </c>
      <c r="V19" t="inlineStr">
        <is>
          <t>1998-03-24</t>
        </is>
      </c>
      <c r="W19" t="inlineStr">
        <is>
          <t>1992-02-27</t>
        </is>
      </c>
      <c r="X19" t="inlineStr">
        <is>
          <t>1992-02-27</t>
        </is>
      </c>
      <c r="Y19" t="n">
        <v>165</v>
      </c>
      <c r="Z19" t="n">
        <v>140</v>
      </c>
      <c r="AA19" t="n">
        <v>154</v>
      </c>
      <c r="AB19" t="n">
        <v>1</v>
      </c>
      <c r="AC19" t="n">
        <v>1</v>
      </c>
      <c r="AD19" t="n">
        <v>2</v>
      </c>
      <c r="AE19" t="n">
        <v>4</v>
      </c>
      <c r="AF19" t="n">
        <v>2</v>
      </c>
      <c r="AG19" t="n">
        <v>3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HYPERLINK("http://catalog.hathitrust.org/Record/009146524","HathiTrust Record")</f>
        <v/>
      </c>
      <c r="AS19">
        <f>HYPERLINK("https://creighton-primo.hosted.exlibrisgroup.com/primo-explore/search?tab=default_tab&amp;search_scope=EVERYTHING&amp;vid=01CRU&amp;lang=en_US&amp;offset=0&amp;query=any,contains,991005264569702656","Catalog Record")</f>
        <v/>
      </c>
      <c r="AT19">
        <f>HYPERLINK("http://www.worldcat.org/oclc/2875361","WorldCat Record")</f>
        <v/>
      </c>
      <c r="AU19" t="inlineStr">
        <is>
          <t>905626959:eng</t>
        </is>
      </c>
      <c r="AV19" t="inlineStr">
        <is>
          <t>2875361</t>
        </is>
      </c>
      <c r="AW19" t="inlineStr">
        <is>
          <t>991005264569702656</t>
        </is>
      </c>
      <c r="AX19" t="inlineStr">
        <is>
          <t>991005264569702656</t>
        </is>
      </c>
      <c r="AY19" t="inlineStr">
        <is>
          <t>2259482880002656</t>
        </is>
      </c>
      <c r="AZ19" t="inlineStr">
        <is>
          <t>BOOK</t>
        </is>
      </c>
      <c r="BB19" t="inlineStr">
        <is>
          <t>9780138828608</t>
        </is>
      </c>
      <c r="BC19" t="inlineStr">
        <is>
          <t>32285000978378</t>
        </is>
      </c>
      <c r="BD19" t="inlineStr">
        <is>
          <t>893896152</t>
        </is>
      </c>
    </row>
    <row r="20">
      <c r="A20" t="inlineStr">
        <is>
          <t>No</t>
        </is>
      </c>
      <c r="B20" t="inlineStr">
        <is>
          <t>RM222.2 .L4224</t>
        </is>
      </c>
      <c r="C20" t="inlineStr">
        <is>
          <t>0                      RM 0222200L  4224</t>
        </is>
      </c>
      <c r="D20" t="inlineStr">
        <is>
          <t>Calories in/calories out : the energy-budget way to fitness and weight control / by James Leisy.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Leisy, James F.</t>
        </is>
      </c>
      <c r="L20" t="inlineStr">
        <is>
          <t>Brattleboro, Vt. : S. Greene Press, c1981.</t>
        </is>
      </c>
      <c r="M20" t="inlineStr">
        <is>
          <t>1981</t>
        </is>
      </c>
      <c r="O20" t="inlineStr">
        <is>
          <t>eng</t>
        </is>
      </c>
      <c r="P20" t="inlineStr">
        <is>
          <t>vtu</t>
        </is>
      </c>
      <c r="R20" t="inlineStr">
        <is>
          <t xml:space="preserve">RM </t>
        </is>
      </c>
      <c r="S20" t="n">
        <v>17</v>
      </c>
      <c r="T20" t="n">
        <v>17</v>
      </c>
      <c r="U20" t="inlineStr">
        <is>
          <t>2002-10-30</t>
        </is>
      </c>
      <c r="V20" t="inlineStr">
        <is>
          <t>2002-10-30</t>
        </is>
      </c>
      <c r="W20" t="inlineStr">
        <is>
          <t>1990-03-20</t>
        </is>
      </c>
      <c r="X20" t="inlineStr">
        <is>
          <t>1990-03-20</t>
        </is>
      </c>
      <c r="Y20" t="n">
        <v>118</v>
      </c>
      <c r="Z20" t="n">
        <v>114</v>
      </c>
      <c r="AA20" t="n">
        <v>114</v>
      </c>
      <c r="AB20" t="n">
        <v>3</v>
      </c>
      <c r="AC20" t="n">
        <v>3</v>
      </c>
      <c r="AD20" t="n">
        <v>3</v>
      </c>
      <c r="AE20" t="n">
        <v>3</v>
      </c>
      <c r="AF20" t="n">
        <v>1</v>
      </c>
      <c r="AG20" t="n">
        <v>1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HYPERLINK("https://creighton-primo.hosted.exlibrisgroup.com/primo-explore/search?tab=default_tab&amp;search_scope=EVERYTHING&amp;vid=01CRU&amp;lang=en_US&amp;offset=0&amp;query=any,contains,991005047679702656","Catalog Record")</f>
        <v/>
      </c>
      <c r="AT20">
        <f>HYPERLINK("http://www.worldcat.org/oclc/6861394","WorldCat Record")</f>
        <v/>
      </c>
      <c r="AU20" t="inlineStr">
        <is>
          <t>23915726:eng</t>
        </is>
      </c>
      <c r="AV20" t="inlineStr">
        <is>
          <t>6861394</t>
        </is>
      </c>
      <c r="AW20" t="inlineStr">
        <is>
          <t>991005047679702656</t>
        </is>
      </c>
      <c r="AX20" t="inlineStr">
        <is>
          <t>991005047679702656</t>
        </is>
      </c>
      <c r="AY20" t="inlineStr">
        <is>
          <t>2271332230002656</t>
        </is>
      </c>
      <c r="AZ20" t="inlineStr">
        <is>
          <t>BOOK</t>
        </is>
      </c>
      <c r="BB20" t="inlineStr">
        <is>
          <t>9780828904131</t>
        </is>
      </c>
      <c r="BC20" t="inlineStr">
        <is>
          <t>32285000088665</t>
        </is>
      </c>
      <c r="BD20" t="inlineStr">
        <is>
          <t>893789353</t>
        </is>
      </c>
    </row>
    <row r="21">
      <c r="A21" t="inlineStr">
        <is>
          <t>No</t>
        </is>
      </c>
      <c r="B21" t="inlineStr">
        <is>
          <t>RM222.2 .S39 1995</t>
        </is>
      </c>
      <c r="C21" t="inlineStr">
        <is>
          <t>0                      RM 0222200S  39          1995</t>
        </is>
      </c>
      <c r="D21" t="inlineStr">
        <is>
          <t>The zone : a dietary road map / Barry Sears, with Bill Lawren.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Sears, Barry, 1947-</t>
        </is>
      </c>
      <c r="L21" t="inlineStr">
        <is>
          <t>New York, NY : Regan Books, c1995.</t>
        </is>
      </c>
      <c r="M21" t="inlineStr">
        <is>
          <t>1995</t>
        </is>
      </c>
      <c r="N21" t="inlineStr">
        <is>
          <t>1st ed.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RM </t>
        </is>
      </c>
      <c r="S21" t="n">
        <v>5</v>
      </c>
      <c r="T21" t="n">
        <v>5</v>
      </c>
      <c r="U21" t="inlineStr">
        <is>
          <t>2009-09-02</t>
        </is>
      </c>
      <c r="V21" t="inlineStr">
        <is>
          <t>2009-09-02</t>
        </is>
      </c>
      <c r="W21" t="inlineStr">
        <is>
          <t>2007-01-16</t>
        </is>
      </c>
      <c r="X21" t="inlineStr">
        <is>
          <t>2007-01-16</t>
        </is>
      </c>
      <c r="Y21" t="n">
        <v>1602</v>
      </c>
      <c r="Z21" t="n">
        <v>1527</v>
      </c>
      <c r="AA21" t="n">
        <v>1684</v>
      </c>
      <c r="AB21" t="n">
        <v>15</v>
      </c>
      <c r="AC21" t="n">
        <v>15</v>
      </c>
      <c r="AD21" t="n">
        <v>6</v>
      </c>
      <c r="AE21" t="n">
        <v>8</v>
      </c>
      <c r="AF21" t="n">
        <v>3</v>
      </c>
      <c r="AG21" t="n">
        <v>4</v>
      </c>
      <c r="AH21" t="n">
        <v>0</v>
      </c>
      <c r="AI21" t="n">
        <v>1</v>
      </c>
      <c r="AJ21" t="n">
        <v>2</v>
      </c>
      <c r="AK21" t="n">
        <v>2</v>
      </c>
      <c r="AL21" t="n">
        <v>0</v>
      </c>
      <c r="AM21" t="n">
        <v>0</v>
      </c>
      <c r="AN21" t="n">
        <v>1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HYPERLINK("https://creighton-primo.hosted.exlibrisgroup.com/primo-explore/search?tab=default_tab&amp;search_scope=EVERYTHING&amp;vid=01CRU&amp;lang=en_US&amp;offset=0&amp;query=any,contains,991005007749702656","Catalog Record")</f>
        <v/>
      </c>
      <c r="AT21">
        <f>HYPERLINK("http://www.worldcat.org/oclc/32394216","WorldCat Record")</f>
        <v/>
      </c>
      <c r="AU21" t="inlineStr">
        <is>
          <t>3901284524:eng</t>
        </is>
      </c>
      <c r="AV21" t="inlineStr">
        <is>
          <t>32394216</t>
        </is>
      </c>
      <c r="AW21" t="inlineStr">
        <is>
          <t>991005007749702656</t>
        </is>
      </c>
      <c r="AX21" t="inlineStr">
        <is>
          <t>991005007749702656</t>
        </is>
      </c>
      <c r="AY21" t="inlineStr">
        <is>
          <t>2256009670002656</t>
        </is>
      </c>
      <c r="AZ21" t="inlineStr">
        <is>
          <t>BOOK</t>
        </is>
      </c>
      <c r="BB21" t="inlineStr">
        <is>
          <t>9780060191313</t>
        </is>
      </c>
      <c r="BC21" t="inlineStr">
        <is>
          <t>32285005270821</t>
        </is>
      </c>
      <c r="BD21" t="inlineStr">
        <is>
          <t>893807709</t>
        </is>
      </c>
    </row>
    <row r="22">
      <c r="A22" t="inlineStr">
        <is>
          <t>No</t>
        </is>
      </c>
      <c r="B22" t="inlineStr">
        <is>
          <t>RM222.2 .S755 1997</t>
        </is>
      </c>
      <c r="C22" t="inlineStr">
        <is>
          <t>0                      RM 0222200S  755         1997</t>
        </is>
      </c>
      <c r="D22" t="inlineStr">
        <is>
          <t>Fat history : bodies and beauty in the modern West / Peter N. Stearns.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Stearns, Peter N.</t>
        </is>
      </c>
      <c r="L22" t="inlineStr">
        <is>
          <t>New York : New York University Press, c1997.</t>
        </is>
      </c>
      <c r="M22" t="inlineStr">
        <is>
          <t>1997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RM </t>
        </is>
      </c>
      <c r="S22" t="n">
        <v>13</v>
      </c>
      <c r="T22" t="n">
        <v>13</v>
      </c>
      <c r="U22" t="inlineStr">
        <is>
          <t>2007-09-13</t>
        </is>
      </c>
      <c r="V22" t="inlineStr">
        <is>
          <t>2007-09-13</t>
        </is>
      </c>
      <c r="W22" t="inlineStr">
        <is>
          <t>1998-10-22</t>
        </is>
      </c>
      <c r="X22" t="inlineStr">
        <is>
          <t>1998-10-22</t>
        </is>
      </c>
      <c r="Y22" t="n">
        <v>736</v>
      </c>
      <c r="Z22" t="n">
        <v>623</v>
      </c>
      <c r="AA22" t="n">
        <v>738</v>
      </c>
      <c r="AB22" t="n">
        <v>2</v>
      </c>
      <c r="AC22" t="n">
        <v>3</v>
      </c>
      <c r="AD22" t="n">
        <v>25</v>
      </c>
      <c r="AE22" t="n">
        <v>32</v>
      </c>
      <c r="AF22" t="n">
        <v>12</v>
      </c>
      <c r="AG22" t="n">
        <v>18</v>
      </c>
      <c r="AH22" t="n">
        <v>6</v>
      </c>
      <c r="AI22" t="n">
        <v>7</v>
      </c>
      <c r="AJ22" t="n">
        <v>14</v>
      </c>
      <c r="AK22" t="n">
        <v>14</v>
      </c>
      <c r="AL22" t="n">
        <v>1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HYPERLINK("https://creighton-primo.hosted.exlibrisgroup.com/primo-explore/search?tab=default_tab&amp;search_scope=EVERYTHING&amp;vid=01CRU&amp;lang=en_US&amp;offset=0&amp;query=any,contains,991002731509702656","Catalog Record")</f>
        <v/>
      </c>
      <c r="AT22">
        <f>HYPERLINK("http://www.worldcat.org/oclc/35829805","WorldCat Record")</f>
        <v/>
      </c>
      <c r="AU22" t="inlineStr">
        <is>
          <t>792452857:eng</t>
        </is>
      </c>
      <c r="AV22" t="inlineStr">
        <is>
          <t>35829805</t>
        </is>
      </c>
      <c r="AW22" t="inlineStr">
        <is>
          <t>991002731509702656</t>
        </is>
      </c>
      <c r="AX22" t="inlineStr">
        <is>
          <t>991002731509702656</t>
        </is>
      </c>
      <c r="AY22" t="inlineStr">
        <is>
          <t>2259062760002656</t>
        </is>
      </c>
      <c r="AZ22" t="inlineStr">
        <is>
          <t>BOOK</t>
        </is>
      </c>
      <c r="BB22" t="inlineStr">
        <is>
          <t>9780814780695</t>
        </is>
      </c>
      <c r="BC22" t="inlineStr">
        <is>
          <t>32285003477022</t>
        </is>
      </c>
      <c r="BD22" t="inlineStr">
        <is>
          <t>893517674</t>
        </is>
      </c>
    </row>
    <row r="23">
      <c r="A23" t="inlineStr">
        <is>
          <t>No</t>
        </is>
      </c>
      <c r="B23" t="inlineStr">
        <is>
          <t>RM237.7 .O76 1993</t>
        </is>
      </c>
      <c r="C23" t="inlineStr">
        <is>
          <t>0                      RM 0237700O  76          1993</t>
        </is>
      </c>
      <c r="D23" t="inlineStr">
        <is>
          <t>Eat more, weigh less : Dr. Dean Ornish's life choice program for losing weight safely while eating abundantly / Dean Ornish ; with cooking section edited by Shirley Elizabeth Brown.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Ornish, Dean.</t>
        </is>
      </c>
      <c r="L23" t="inlineStr">
        <is>
          <t>New York : HarperCollins, c1993.</t>
        </is>
      </c>
      <c r="M23" t="inlineStr">
        <is>
          <t>1993</t>
        </is>
      </c>
      <c r="N23" t="inlineStr">
        <is>
          <t>1st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RM </t>
        </is>
      </c>
      <c r="S23" t="n">
        <v>27</v>
      </c>
      <c r="T23" t="n">
        <v>27</v>
      </c>
      <c r="U23" t="inlineStr">
        <is>
          <t>2009-04-16</t>
        </is>
      </c>
      <c r="V23" t="inlineStr">
        <is>
          <t>2009-04-16</t>
        </is>
      </c>
      <c r="W23" t="inlineStr">
        <is>
          <t>1993-09-14</t>
        </is>
      </c>
      <c r="X23" t="inlineStr">
        <is>
          <t>1993-09-14</t>
        </is>
      </c>
      <c r="Y23" t="n">
        <v>1407</v>
      </c>
      <c r="Z23" t="n">
        <v>1367</v>
      </c>
      <c r="AA23" t="n">
        <v>1729</v>
      </c>
      <c r="AB23" t="n">
        <v>14</v>
      </c>
      <c r="AC23" t="n">
        <v>19</v>
      </c>
      <c r="AD23" t="n">
        <v>11</v>
      </c>
      <c r="AE23" t="n">
        <v>13</v>
      </c>
      <c r="AF23" t="n">
        <v>4</v>
      </c>
      <c r="AG23" t="n">
        <v>6</v>
      </c>
      <c r="AH23" t="n">
        <v>0</v>
      </c>
      <c r="AI23" t="n">
        <v>0</v>
      </c>
      <c r="AJ23" t="n">
        <v>3</v>
      </c>
      <c r="AK23" t="n">
        <v>3</v>
      </c>
      <c r="AL23" t="n">
        <v>4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HYPERLINK("https://creighton-primo.hosted.exlibrisgroup.com/primo-explore/search?tab=default_tab&amp;search_scope=EVERYTHING&amp;vid=01CRU&amp;lang=en_US&amp;offset=0&amp;query=any,contains,991002127979702656","Catalog Record")</f>
        <v/>
      </c>
      <c r="AT23">
        <f>HYPERLINK("http://www.worldcat.org/oclc/27265337","WorldCat Record")</f>
        <v/>
      </c>
      <c r="AU23" t="inlineStr">
        <is>
          <t>325329:eng</t>
        </is>
      </c>
      <c r="AV23" t="inlineStr">
        <is>
          <t>27265337</t>
        </is>
      </c>
      <c r="AW23" t="inlineStr">
        <is>
          <t>991002127979702656</t>
        </is>
      </c>
      <c r="AX23" t="inlineStr">
        <is>
          <t>991002127979702656</t>
        </is>
      </c>
      <c r="AY23" t="inlineStr">
        <is>
          <t>2269628370002656</t>
        </is>
      </c>
      <c r="AZ23" t="inlineStr">
        <is>
          <t>BOOK</t>
        </is>
      </c>
      <c r="BB23" t="inlineStr">
        <is>
          <t>9780060168384</t>
        </is>
      </c>
      <c r="BC23" t="inlineStr">
        <is>
          <t>32285001766632</t>
        </is>
      </c>
      <c r="BD23" t="inlineStr">
        <is>
          <t>893866829</t>
        </is>
      </c>
    </row>
    <row r="24">
      <c r="A24" t="inlineStr">
        <is>
          <t>No</t>
        </is>
      </c>
      <c r="B24" t="inlineStr">
        <is>
          <t>RM237.9 .T54</t>
        </is>
      </c>
      <c r="C24" t="inlineStr">
        <is>
          <t>0                      RM 0237900T  54</t>
        </is>
      </c>
      <c r="D24" t="inlineStr">
        <is>
          <t>Young at 73---and beyond! How to keep eternally youthful and remain tireless, painless, ageless / by Frederick Tilney.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Tilney, Frederick.</t>
        </is>
      </c>
      <c r="L24" t="inlineStr">
        <is>
          <t>New York : Information, Inc., c1968.</t>
        </is>
      </c>
      <c r="M24" t="inlineStr">
        <is>
          <t>1968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RM </t>
        </is>
      </c>
      <c r="S24" t="n">
        <v>2</v>
      </c>
      <c r="T24" t="n">
        <v>2</v>
      </c>
      <c r="U24" t="inlineStr">
        <is>
          <t>2006-11-27</t>
        </is>
      </c>
      <c r="V24" t="inlineStr">
        <is>
          <t>2006-11-27</t>
        </is>
      </c>
      <c r="W24" t="inlineStr">
        <is>
          <t>1993-03-04</t>
        </is>
      </c>
      <c r="X24" t="inlineStr">
        <is>
          <t>1993-03-04</t>
        </is>
      </c>
      <c r="Y24" t="n">
        <v>10</v>
      </c>
      <c r="Z24" t="n">
        <v>9</v>
      </c>
      <c r="AA24" t="n">
        <v>10</v>
      </c>
      <c r="AB24" t="n">
        <v>1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HYPERLINK("https://creighton-primo.hosted.exlibrisgroup.com/primo-explore/search?tab=default_tab&amp;search_scope=EVERYTHING&amp;vid=01CRU&amp;lang=en_US&amp;offset=0&amp;query=any,contains,991000894879702656","Catalog Record")</f>
        <v/>
      </c>
      <c r="AT24">
        <f>HYPERLINK("http://www.worldcat.org/oclc/155608","WorldCat Record")</f>
        <v/>
      </c>
      <c r="AU24" t="inlineStr">
        <is>
          <t>1187084:eng</t>
        </is>
      </c>
      <c r="AV24" t="inlineStr">
        <is>
          <t>155608</t>
        </is>
      </c>
      <c r="AW24" t="inlineStr">
        <is>
          <t>991000894879702656</t>
        </is>
      </c>
      <c r="AX24" t="inlineStr">
        <is>
          <t>991000894879702656</t>
        </is>
      </c>
      <c r="AY24" t="inlineStr">
        <is>
          <t>2256617370002656</t>
        </is>
      </c>
      <c r="AZ24" t="inlineStr">
        <is>
          <t>BOOK</t>
        </is>
      </c>
      <c r="BC24" t="inlineStr">
        <is>
          <t>32285001529881</t>
        </is>
      </c>
      <c r="BD24" t="inlineStr">
        <is>
          <t>893803149</t>
        </is>
      </c>
    </row>
    <row r="25">
      <c r="A25" t="inlineStr">
        <is>
          <t>No</t>
        </is>
      </c>
      <c r="B25" t="inlineStr">
        <is>
          <t>RM261.3.U6 C37 1985</t>
        </is>
      </c>
      <c r="C25" t="inlineStr">
        <is>
          <t>0                      RM 0261300U  6                  C  37          1985</t>
        </is>
      </c>
      <c r="D25" t="inlineStr">
        <is>
          <t>Drugs in modern society / Charles R. Carroll.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Carroll, Charles R.</t>
        </is>
      </c>
      <c r="L25" t="inlineStr">
        <is>
          <t>Dubuque, Iowa : Wm. C. Brown, 1985.</t>
        </is>
      </c>
      <c r="M25" t="inlineStr">
        <is>
          <t>1985</t>
        </is>
      </c>
      <c r="O25" t="inlineStr">
        <is>
          <t>eng</t>
        </is>
      </c>
      <c r="P25" t="inlineStr">
        <is>
          <t>iau</t>
        </is>
      </c>
      <c r="R25" t="inlineStr">
        <is>
          <t xml:space="preserve">RM </t>
        </is>
      </c>
      <c r="S25" t="n">
        <v>14</v>
      </c>
      <c r="T25" t="n">
        <v>14</v>
      </c>
      <c r="U25" t="inlineStr">
        <is>
          <t>2008-03-30</t>
        </is>
      </c>
      <c r="V25" t="inlineStr">
        <is>
          <t>2008-03-30</t>
        </is>
      </c>
      <c r="W25" t="inlineStr">
        <is>
          <t>1992-01-21</t>
        </is>
      </c>
      <c r="X25" t="inlineStr">
        <is>
          <t>1992-01-21</t>
        </is>
      </c>
      <c r="Y25" t="n">
        <v>100</v>
      </c>
      <c r="Z25" t="n">
        <v>89</v>
      </c>
      <c r="AA25" t="n">
        <v>317</v>
      </c>
      <c r="AB25" t="n">
        <v>1</v>
      </c>
      <c r="AC25" t="n">
        <v>4</v>
      </c>
      <c r="AD25" t="n">
        <v>2</v>
      </c>
      <c r="AE25" t="n">
        <v>9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5</v>
      </c>
      <c r="AL25" t="n">
        <v>0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HYPERLINK("http://catalog.hathitrust.org/Record/000663951","HathiTrust Record")</f>
        <v/>
      </c>
      <c r="AS25">
        <f>HYPERLINK("https://creighton-primo.hosted.exlibrisgroup.com/primo-explore/search?tab=default_tab&amp;search_scope=EVERYTHING&amp;vid=01CRU&amp;lang=en_US&amp;offset=0&amp;query=any,contains,991000615679702656","Catalog Record")</f>
        <v/>
      </c>
      <c r="AT25">
        <f>HYPERLINK("http://www.worldcat.org/oclc/11933562","WorldCat Record")</f>
        <v/>
      </c>
      <c r="AU25" t="inlineStr">
        <is>
          <t>4634035:eng</t>
        </is>
      </c>
      <c r="AV25" t="inlineStr">
        <is>
          <t>11933562</t>
        </is>
      </c>
      <c r="AW25" t="inlineStr">
        <is>
          <t>991000615679702656</t>
        </is>
      </c>
      <c r="AX25" t="inlineStr">
        <is>
          <t>991000615679702656</t>
        </is>
      </c>
      <c r="AY25" t="inlineStr">
        <is>
          <t>2265513730002656</t>
        </is>
      </c>
      <c r="AZ25" t="inlineStr">
        <is>
          <t>BOOK</t>
        </is>
      </c>
      <c r="BB25" t="inlineStr">
        <is>
          <t>9780697001399</t>
        </is>
      </c>
      <c r="BC25" t="inlineStr">
        <is>
          <t>32285000916303</t>
        </is>
      </c>
      <c r="BD25" t="inlineStr">
        <is>
          <t>893515433</t>
        </is>
      </c>
    </row>
    <row r="26">
      <c r="A26" t="inlineStr">
        <is>
          <t>No</t>
        </is>
      </c>
      <c r="B26" t="inlineStr">
        <is>
          <t>RM267 .F53 1994</t>
        </is>
      </c>
      <c r="C26" t="inlineStr">
        <is>
          <t>0                      RM 0267000F  53          1994</t>
        </is>
      </c>
      <c r="D26" t="inlineStr">
        <is>
          <t>The plague makers : how we are creating catastrophic new epidemics-- and what we must do to avert them / Jeffrey A. Fisher.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Fisher, Jeffrey A., 1943-</t>
        </is>
      </c>
      <c r="L26" t="inlineStr">
        <is>
          <t>New York : Simon &amp; Schuster, c1994.</t>
        </is>
      </c>
      <c r="M26" t="inlineStr">
        <is>
          <t>1994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RM </t>
        </is>
      </c>
      <c r="S26" t="n">
        <v>21</v>
      </c>
      <c r="T26" t="n">
        <v>21</v>
      </c>
      <c r="U26" t="inlineStr">
        <is>
          <t>2008-01-28</t>
        </is>
      </c>
      <c r="V26" t="inlineStr">
        <is>
          <t>2008-01-28</t>
        </is>
      </c>
      <c r="W26" t="inlineStr">
        <is>
          <t>1994-08-22</t>
        </is>
      </c>
      <c r="X26" t="inlineStr">
        <is>
          <t>1994-08-22</t>
        </is>
      </c>
      <c r="Y26" t="n">
        <v>663</v>
      </c>
      <c r="Z26" t="n">
        <v>616</v>
      </c>
      <c r="AA26" t="n">
        <v>622</v>
      </c>
      <c r="AB26" t="n">
        <v>5</v>
      </c>
      <c r="AC26" t="n">
        <v>5</v>
      </c>
      <c r="AD26" t="n">
        <v>16</v>
      </c>
      <c r="AE26" t="n">
        <v>16</v>
      </c>
      <c r="AF26" t="n">
        <v>5</v>
      </c>
      <c r="AG26" t="n">
        <v>5</v>
      </c>
      <c r="AH26" t="n">
        <v>5</v>
      </c>
      <c r="AI26" t="n">
        <v>5</v>
      </c>
      <c r="AJ26" t="n">
        <v>6</v>
      </c>
      <c r="AK26" t="n">
        <v>6</v>
      </c>
      <c r="AL26" t="n">
        <v>2</v>
      </c>
      <c r="AM26" t="n">
        <v>2</v>
      </c>
      <c r="AN26" t="n">
        <v>1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HYPERLINK("http://catalog.hathitrust.org/Record/002886656","HathiTrust Record")</f>
        <v/>
      </c>
      <c r="AS26">
        <f>HYPERLINK("https://creighton-primo.hosted.exlibrisgroup.com/primo-explore/search?tab=default_tab&amp;search_scope=EVERYTHING&amp;vid=01CRU&amp;lang=en_US&amp;offset=0&amp;query=any,contains,991002275439702656","Catalog Record")</f>
        <v/>
      </c>
      <c r="AT26">
        <f>HYPERLINK("http://www.worldcat.org/oclc/29521207","WorldCat Record")</f>
        <v/>
      </c>
      <c r="AU26" t="inlineStr">
        <is>
          <t>889670678:eng</t>
        </is>
      </c>
      <c r="AV26" t="inlineStr">
        <is>
          <t>29521207</t>
        </is>
      </c>
      <c r="AW26" t="inlineStr">
        <is>
          <t>991002275439702656</t>
        </is>
      </c>
      <c r="AX26" t="inlineStr">
        <is>
          <t>991002275439702656</t>
        </is>
      </c>
      <c r="AY26" t="inlineStr">
        <is>
          <t>2268172340002656</t>
        </is>
      </c>
      <c r="AZ26" t="inlineStr">
        <is>
          <t>BOOK</t>
        </is>
      </c>
      <c r="BB26" t="inlineStr">
        <is>
          <t>9780671791568</t>
        </is>
      </c>
      <c r="BC26" t="inlineStr">
        <is>
          <t>32285001943819</t>
        </is>
      </c>
      <c r="BD26" t="inlineStr">
        <is>
          <t>893504215</t>
        </is>
      </c>
    </row>
    <row r="27">
      <c r="A27" t="inlineStr">
        <is>
          <t>No</t>
        </is>
      </c>
      <c r="B27" t="inlineStr">
        <is>
          <t>RM267 .H35</t>
        </is>
      </c>
      <c r="C27" t="inlineStr">
        <is>
          <t>0                      RM 0267000H  35</t>
        </is>
      </c>
      <c r="D27" t="inlineStr">
        <is>
          <t>Antibiotics and antimicrobial action / Stephen M. Hammond, Peter A. Lambert. --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Hammond, Stephen M.</t>
        </is>
      </c>
      <c r="L27" t="inlineStr">
        <is>
          <t>London : E. Arnold, 1978.</t>
        </is>
      </c>
      <c r="M27" t="inlineStr">
        <is>
          <t>1978</t>
        </is>
      </c>
      <c r="O27" t="inlineStr">
        <is>
          <t>eng</t>
        </is>
      </c>
      <c r="P27" t="inlineStr">
        <is>
          <t>enk</t>
        </is>
      </c>
      <c r="Q27" t="inlineStr">
        <is>
          <t>The Institute of Biology's Studies in biology ; no. 90</t>
        </is>
      </c>
      <c r="R27" t="inlineStr">
        <is>
          <t xml:space="preserve">RM </t>
        </is>
      </c>
      <c r="S27" t="n">
        <v>13</v>
      </c>
      <c r="T27" t="n">
        <v>13</v>
      </c>
      <c r="U27" t="inlineStr">
        <is>
          <t>2002-01-24</t>
        </is>
      </c>
      <c r="V27" t="inlineStr">
        <is>
          <t>2002-01-24</t>
        </is>
      </c>
      <c r="W27" t="inlineStr">
        <is>
          <t>1992-03-16</t>
        </is>
      </c>
      <c r="X27" t="inlineStr">
        <is>
          <t>1992-03-16</t>
        </is>
      </c>
      <c r="Y27" t="n">
        <v>289</v>
      </c>
      <c r="Z27" t="n">
        <v>118</v>
      </c>
      <c r="AA27" t="n">
        <v>120</v>
      </c>
      <c r="AB27" t="n">
        <v>3</v>
      </c>
      <c r="AC27" t="n">
        <v>3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HYPERLINK("http://catalog.hathitrust.org/Record/000024482","HathiTrust Record")</f>
        <v/>
      </c>
      <c r="AS27">
        <f>HYPERLINK("https://creighton-primo.hosted.exlibrisgroup.com/primo-explore/search?tab=default_tab&amp;search_scope=EVERYTHING&amp;vid=01CRU&amp;lang=en_US&amp;offset=0&amp;query=any,contains,991004554669702656","Catalog Record")</f>
        <v/>
      </c>
      <c r="AT27">
        <f>HYPERLINK("http://www.worldcat.org/oclc/3962612","WorldCat Record")</f>
        <v/>
      </c>
      <c r="AU27" t="inlineStr">
        <is>
          <t>13192371:eng</t>
        </is>
      </c>
      <c r="AV27" t="inlineStr">
        <is>
          <t>3962612</t>
        </is>
      </c>
      <c r="AW27" t="inlineStr">
        <is>
          <t>991004554669702656</t>
        </is>
      </c>
      <c r="AX27" t="inlineStr">
        <is>
          <t>991004554669702656</t>
        </is>
      </c>
      <c r="AY27" t="inlineStr">
        <is>
          <t>2264922340002656</t>
        </is>
      </c>
      <c r="AZ27" t="inlineStr">
        <is>
          <t>BOOK</t>
        </is>
      </c>
      <c r="BB27" t="inlineStr">
        <is>
          <t>9780713126839</t>
        </is>
      </c>
      <c r="BC27" t="inlineStr">
        <is>
          <t>32285001021178</t>
        </is>
      </c>
      <c r="BD27" t="inlineStr">
        <is>
          <t>893331742</t>
        </is>
      </c>
    </row>
    <row r="28">
      <c r="A28" t="inlineStr">
        <is>
          <t>No</t>
        </is>
      </c>
      <c r="B28" t="inlineStr">
        <is>
          <t>RM288 .A5</t>
        </is>
      </c>
      <c r="C28" t="inlineStr">
        <is>
          <t>0                      RM 0288000A  5</t>
        </is>
      </c>
      <c r="D28" t="inlineStr">
        <is>
          <t>Steroid drugs.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Applezweig, Norman, 1917-</t>
        </is>
      </c>
      <c r="L28" t="inlineStr">
        <is>
          <t>New York, Blakiston Division, McGraw-Hill [1962]-</t>
        </is>
      </c>
      <c r="M28" t="inlineStr">
        <is>
          <t>1962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RM </t>
        </is>
      </c>
      <c r="S28" t="n">
        <v>4</v>
      </c>
      <c r="T28" t="n">
        <v>4</v>
      </c>
      <c r="U28" t="inlineStr">
        <is>
          <t>1997-10-13</t>
        </is>
      </c>
      <c r="V28" t="inlineStr">
        <is>
          <t>1997-10-13</t>
        </is>
      </c>
      <c r="W28" t="inlineStr">
        <is>
          <t>1997-08-12</t>
        </is>
      </c>
      <c r="X28" t="inlineStr">
        <is>
          <t>1997-08-12</t>
        </is>
      </c>
      <c r="Y28" t="n">
        <v>203</v>
      </c>
      <c r="Z28" t="n">
        <v>147</v>
      </c>
      <c r="AA28" t="n">
        <v>164</v>
      </c>
      <c r="AB28" t="n">
        <v>2</v>
      </c>
      <c r="AC28" t="n">
        <v>2</v>
      </c>
      <c r="AD28" t="n">
        <v>4</v>
      </c>
      <c r="AE28" t="n">
        <v>4</v>
      </c>
      <c r="AF28" t="n">
        <v>1</v>
      </c>
      <c r="AG28" t="n">
        <v>1</v>
      </c>
      <c r="AH28" t="n">
        <v>2</v>
      </c>
      <c r="AI28" t="n">
        <v>2</v>
      </c>
      <c r="AJ28" t="n">
        <v>2</v>
      </c>
      <c r="AK28" t="n">
        <v>2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Yes</t>
        </is>
      </c>
      <c r="AQ28" t="inlineStr">
        <is>
          <t>Yes</t>
        </is>
      </c>
      <c r="AR28">
        <f>HYPERLINK("http://catalog.hathitrust.org/Record/009953801","HathiTrust Record")</f>
        <v/>
      </c>
      <c r="AS28">
        <f>HYPERLINK("https://creighton-primo.hosted.exlibrisgroup.com/primo-explore/search?tab=default_tab&amp;search_scope=EVERYTHING&amp;vid=01CRU&amp;lang=en_US&amp;offset=0&amp;query=any,contains,991005266499702656","Catalog Record")</f>
        <v/>
      </c>
      <c r="AT28">
        <f>HYPERLINK("http://www.worldcat.org/oclc/14615096","WorldCat Record")</f>
        <v/>
      </c>
      <c r="AU28" t="inlineStr">
        <is>
          <t>1875179:eng</t>
        </is>
      </c>
      <c r="AV28" t="inlineStr">
        <is>
          <t>14615096</t>
        </is>
      </c>
      <c r="AW28" t="inlineStr">
        <is>
          <t>991005266499702656</t>
        </is>
      </c>
      <c r="AX28" t="inlineStr">
        <is>
          <t>991005266499702656</t>
        </is>
      </c>
      <c r="AY28" t="inlineStr">
        <is>
          <t>2263351770002656</t>
        </is>
      </c>
      <c r="AZ28" t="inlineStr">
        <is>
          <t>BOOK</t>
        </is>
      </c>
      <c r="BC28" t="inlineStr">
        <is>
          <t>32285003094397</t>
        </is>
      </c>
      <c r="BD28" t="inlineStr">
        <is>
          <t>893607105</t>
        </is>
      </c>
    </row>
    <row r="29">
      <c r="A29" t="inlineStr">
        <is>
          <t>No</t>
        </is>
      </c>
      <c r="B29" t="inlineStr">
        <is>
          <t>RM300 .M1843 2005</t>
        </is>
      </c>
      <c r="C29" t="inlineStr">
        <is>
          <t>0                      RM 0300000M  1843        2005</t>
        </is>
      </c>
      <c r="D29" t="inlineStr">
        <is>
          <t>Pharmacology application in athletic training / Brent C. Mangus, Michael G. Miller ; with consultant, Kimberly A. Melgarejo.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Mangus, Brent C.</t>
        </is>
      </c>
      <c r="L29" t="inlineStr">
        <is>
          <t>Philadelphia, PA : F.A. Davis, c2005.</t>
        </is>
      </c>
      <c r="M29" t="inlineStr">
        <is>
          <t>2005</t>
        </is>
      </c>
      <c r="O29" t="inlineStr">
        <is>
          <t>eng</t>
        </is>
      </c>
      <c r="P29" t="inlineStr">
        <is>
          <t>pau</t>
        </is>
      </c>
      <c r="R29" t="inlineStr">
        <is>
          <t xml:space="preserve">RM </t>
        </is>
      </c>
      <c r="S29" t="n">
        <v>2</v>
      </c>
      <c r="T29" t="n">
        <v>2</v>
      </c>
      <c r="U29" t="inlineStr">
        <is>
          <t>2008-03-30</t>
        </is>
      </c>
      <c r="V29" t="inlineStr">
        <is>
          <t>2008-03-30</t>
        </is>
      </c>
      <c r="W29" t="inlineStr">
        <is>
          <t>2005-05-11</t>
        </is>
      </c>
      <c r="X29" t="inlineStr">
        <is>
          <t>2005-05-11</t>
        </is>
      </c>
      <c r="Y29" t="n">
        <v>168</v>
      </c>
      <c r="Z29" t="n">
        <v>138</v>
      </c>
      <c r="AA29" t="n">
        <v>163</v>
      </c>
      <c r="AB29" t="n">
        <v>2</v>
      </c>
      <c r="AC29" t="n">
        <v>2</v>
      </c>
      <c r="AD29" t="n">
        <v>7</v>
      </c>
      <c r="AE29" t="n">
        <v>9</v>
      </c>
      <c r="AF29" t="n">
        <v>5</v>
      </c>
      <c r="AG29" t="n">
        <v>6</v>
      </c>
      <c r="AH29" t="n">
        <v>0</v>
      </c>
      <c r="AI29" t="n">
        <v>2</v>
      </c>
      <c r="AJ29" t="n">
        <v>2</v>
      </c>
      <c r="AK29" t="n">
        <v>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HYPERLINK("https://creighton-primo.hosted.exlibrisgroup.com/primo-explore/search?tab=default_tab&amp;search_scope=EVERYTHING&amp;vid=01CRU&amp;lang=en_US&amp;offset=0&amp;query=any,contains,991004512689702656","Catalog Record")</f>
        <v/>
      </c>
      <c r="AT29">
        <f>HYPERLINK("http://www.worldcat.org/oclc/57123727","WorldCat Record")</f>
        <v/>
      </c>
      <c r="AU29" t="inlineStr">
        <is>
          <t>960272:eng</t>
        </is>
      </c>
      <c r="AV29" t="inlineStr">
        <is>
          <t>57123727</t>
        </is>
      </c>
      <c r="AW29" t="inlineStr">
        <is>
          <t>991004512689702656</t>
        </is>
      </c>
      <c r="AX29" t="inlineStr">
        <is>
          <t>991004512689702656</t>
        </is>
      </c>
      <c r="AY29" t="inlineStr">
        <is>
          <t>2269252790002656</t>
        </is>
      </c>
      <c r="AZ29" t="inlineStr">
        <is>
          <t>BOOK</t>
        </is>
      </c>
      <c r="BB29" t="inlineStr">
        <is>
          <t>9780803611276</t>
        </is>
      </c>
      <c r="BC29" t="inlineStr">
        <is>
          <t>32285005037279</t>
        </is>
      </c>
      <c r="BD29" t="inlineStr">
        <is>
          <t>893513324</t>
        </is>
      </c>
    </row>
    <row r="30">
      <c r="A30" t="inlineStr">
        <is>
          <t>No</t>
        </is>
      </c>
      <c r="B30" t="inlineStr">
        <is>
          <t>RM300 .S84</t>
        </is>
      </c>
      <c r="C30" t="inlineStr">
        <is>
          <t>0                      RM 0300000S  84</t>
        </is>
      </c>
      <c r="D30" t="inlineStr">
        <is>
          <t>Foundations of molecular pharmacology / J. B. Stenlake.</t>
        </is>
      </c>
      <c r="E30" t="inlineStr">
        <is>
          <t>V. 2</t>
        </is>
      </c>
      <c r="F30" t="inlineStr">
        <is>
          <t>Yes</t>
        </is>
      </c>
      <c r="G30" t="inlineStr">
        <is>
          <t>1</t>
        </is>
      </c>
      <c r="H30" t="inlineStr">
        <is>
          <t>Yes</t>
        </is>
      </c>
      <c r="I30" t="inlineStr">
        <is>
          <t>No</t>
        </is>
      </c>
      <c r="J30" t="inlineStr">
        <is>
          <t>0</t>
        </is>
      </c>
      <c r="K30" t="inlineStr">
        <is>
          <t>Stenlake, J. B. (John Bedford)</t>
        </is>
      </c>
      <c r="L30" t="inlineStr">
        <is>
          <t>London : Athlone Press ; [Atlantic Highlands], N. J. : distributed [in the] USA by Humanities Press, c1979.</t>
        </is>
      </c>
      <c r="M30" t="inlineStr">
        <is>
          <t>1979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RM </t>
        </is>
      </c>
      <c r="S30" t="n">
        <v>0</v>
      </c>
      <c r="T30" t="n">
        <v>5</v>
      </c>
      <c r="V30" t="inlineStr">
        <is>
          <t>2002-04-24</t>
        </is>
      </c>
      <c r="W30" t="inlineStr">
        <is>
          <t>1993-03-04</t>
        </is>
      </c>
      <c r="X30" t="inlineStr">
        <is>
          <t>1993-03-04</t>
        </is>
      </c>
      <c r="Y30" t="n">
        <v>163</v>
      </c>
      <c r="Z30" t="n">
        <v>107</v>
      </c>
      <c r="AA30" t="n">
        <v>109</v>
      </c>
      <c r="AB30" t="n">
        <v>3</v>
      </c>
      <c r="AC30" t="n">
        <v>3</v>
      </c>
      <c r="AD30" t="n">
        <v>5</v>
      </c>
      <c r="AE30" t="n">
        <v>5</v>
      </c>
      <c r="AF30" t="n">
        <v>3</v>
      </c>
      <c r="AG30" t="n">
        <v>3</v>
      </c>
      <c r="AH30" t="n">
        <v>0</v>
      </c>
      <c r="AI30" t="n">
        <v>0</v>
      </c>
      <c r="AJ30" t="n">
        <v>1</v>
      </c>
      <c r="AK30" t="n">
        <v>1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HYPERLINK("http://catalog.hathitrust.org/Record/000758714","HathiTrust Record")</f>
        <v/>
      </c>
      <c r="AS30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T30">
        <f>HYPERLINK("http://www.worldcat.org/oclc/5513552","WorldCat Record")</f>
        <v/>
      </c>
      <c r="AU30" t="inlineStr">
        <is>
          <t>3980079141:eng</t>
        </is>
      </c>
      <c r="AV30" t="inlineStr">
        <is>
          <t>5513552</t>
        </is>
      </c>
      <c r="AW30" t="inlineStr">
        <is>
          <t>991001777549702656</t>
        </is>
      </c>
      <c r="AX30" t="inlineStr">
        <is>
          <t>991001777549702656</t>
        </is>
      </c>
      <c r="AY30" t="inlineStr">
        <is>
          <t>2269899490002656</t>
        </is>
      </c>
      <c r="AZ30" t="inlineStr">
        <is>
          <t>BOOK</t>
        </is>
      </c>
      <c r="BB30" t="inlineStr">
        <is>
          <t>9780485111712</t>
        </is>
      </c>
      <c r="BC30" t="inlineStr">
        <is>
          <t>32285001529915</t>
        </is>
      </c>
      <c r="BD30" t="inlineStr">
        <is>
          <t>893684633</t>
        </is>
      </c>
    </row>
    <row r="31">
      <c r="A31" t="inlineStr">
        <is>
          <t>No</t>
        </is>
      </c>
      <c r="B31" t="inlineStr">
        <is>
          <t>RM300 .S84</t>
        </is>
      </c>
      <c r="C31" t="inlineStr">
        <is>
          <t>0                      RM 0300000S  84</t>
        </is>
      </c>
      <c r="D31" t="inlineStr">
        <is>
          <t>Foundations of molecular pharmacology / J. B. Stenlake.</t>
        </is>
      </c>
      <c r="E31" t="inlineStr">
        <is>
          <t>V. 1</t>
        </is>
      </c>
      <c r="F31" t="inlineStr">
        <is>
          <t>Yes</t>
        </is>
      </c>
      <c r="G31" t="inlineStr">
        <is>
          <t>1</t>
        </is>
      </c>
      <c r="H31" t="inlineStr">
        <is>
          <t>Yes</t>
        </is>
      </c>
      <c r="I31" t="inlineStr">
        <is>
          <t>No</t>
        </is>
      </c>
      <c r="J31" t="inlineStr">
        <is>
          <t>0</t>
        </is>
      </c>
      <c r="K31" t="inlineStr">
        <is>
          <t>Stenlake, J. B. (John Bedford)</t>
        </is>
      </c>
      <c r="L31" t="inlineStr">
        <is>
          <t>London : Athlone Press ; [Atlantic Highlands], N. J. : distributed [in the] USA by Humanities Press, c1979.</t>
        </is>
      </c>
      <c r="M31" t="inlineStr">
        <is>
          <t>1979</t>
        </is>
      </c>
      <c r="O31" t="inlineStr">
        <is>
          <t>eng</t>
        </is>
      </c>
      <c r="P31" t="inlineStr">
        <is>
          <t>enk</t>
        </is>
      </c>
      <c r="R31" t="inlineStr">
        <is>
          <t xml:space="preserve">RM </t>
        </is>
      </c>
      <c r="S31" t="n">
        <v>0</v>
      </c>
      <c r="T31" t="n">
        <v>5</v>
      </c>
      <c r="V31" t="inlineStr">
        <is>
          <t>2002-04-24</t>
        </is>
      </c>
      <c r="W31" t="inlineStr">
        <is>
          <t>1993-03-04</t>
        </is>
      </c>
      <c r="X31" t="inlineStr">
        <is>
          <t>1993-03-04</t>
        </is>
      </c>
      <c r="Y31" t="n">
        <v>163</v>
      </c>
      <c r="Z31" t="n">
        <v>107</v>
      </c>
      <c r="AA31" t="n">
        <v>109</v>
      </c>
      <c r="AB31" t="n">
        <v>3</v>
      </c>
      <c r="AC31" t="n">
        <v>3</v>
      </c>
      <c r="AD31" t="n">
        <v>5</v>
      </c>
      <c r="AE31" t="n">
        <v>5</v>
      </c>
      <c r="AF31" t="n">
        <v>3</v>
      </c>
      <c r="AG31" t="n">
        <v>3</v>
      </c>
      <c r="AH31" t="n">
        <v>0</v>
      </c>
      <c r="AI31" t="n">
        <v>0</v>
      </c>
      <c r="AJ31" t="n">
        <v>1</v>
      </c>
      <c r="AK31" t="n">
        <v>1</v>
      </c>
      <c r="AL31" t="n">
        <v>1</v>
      </c>
      <c r="AM31" t="n">
        <v>1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HYPERLINK("http://catalog.hathitrust.org/Record/000758714","HathiTrust Record")</f>
        <v/>
      </c>
      <c r="AS31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T31">
        <f>HYPERLINK("http://www.worldcat.org/oclc/5513552","WorldCat Record")</f>
        <v/>
      </c>
      <c r="AU31" t="inlineStr">
        <is>
          <t>3980079141:eng</t>
        </is>
      </c>
      <c r="AV31" t="inlineStr">
        <is>
          <t>5513552</t>
        </is>
      </c>
      <c r="AW31" t="inlineStr">
        <is>
          <t>991001777549702656</t>
        </is>
      </c>
      <c r="AX31" t="inlineStr">
        <is>
          <t>991001777549702656</t>
        </is>
      </c>
      <c r="AY31" t="inlineStr">
        <is>
          <t>2269899490002656</t>
        </is>
      </c>
      <c r="AZ31" t="inlineStr">
        <is>
          <t>BOOK</t>
        </is>
      </c>
      <c r="BB31" t="inlineStr">
        <is>
          <t>9780485111712</t>
        </is>
      </c>
      <c r="BC31" t="inlineStr">
        <is>
          <t>32285001529907</t>
        </is>
      </c>
      <c r="BD31" t="inlineStr">
        <is>
          <t>893709535</t>
        </is>
      </c>
    </row>
    <row r="32">
      <c r="A32" t="inlineStr">
        <is>
          <t>No</t>
        </is>
      </c>
      <c r="B32" t="inlineStr">
        <is>
          <t>RM300 .T39 1981</t>
        </is>
      </c>
      <c r="C32" t="inlineStr">
        <is>
          <t>0                      RM 0300000T  39          1981</t>
        </is>
      </c>
      <c r="D32" t="inlineStr">
        <is>
          <t>Introductory medicinal chemistry / J.B. Taylor and P.D. Kennewell.</t>
        </is>
      </c>
      <c r="F32" t="inlineStr">
        <is>
          <t>No</t>
        </is>
      </c>
      <c r="G32" t="inlineStr">
        <is>
          <t>1</t>
        </is>
      </c>
      <c r="H32" t="inlineStr">
        <is>
          <t>Yes</t>
        </is>
      </c>
      <c r="I32" t="inlineStr">
        <is>
          <t>No</t>
        </is>
      </c>
      <c r="J32" t="inlineStr">
        <is>
          <t>0</t>
        </is>
      </c>
      <c r="K32" t="inlineStr">
        <is>
          <t>Taylor, J. B. (John Bodenhan), 1939-</t>
        </is>
      </c>
      <c r="L32" t="inlineStr">
        <is>
          <t>Chichester : Ellis Horwood ; New York : Halsted Press, 1981.</t>
        </is>
      </c>
      <c r="M32" t="inlineStr">
        <is>
          <t>1981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RM </t>
        </is>
      </c>
      <c r="S32" t="n">
        <v>6</v>
      </c>
      <c r="T32" t="n">
        <v>29</v>
      </c>
      <c r="U32" t="inlineStr">
        <is>
          <t>1994-03-24</t>
        </is>
      </c>
      <c r="V32" t="inlineStr">
        <is>
          <t>2005-08-24</t>
        </is>
      </c>
      <c r="W32" t="inlineStr">
        <is>
          <t>1992-01-28</t>
        </is>
      </c>
      <c r="X32" t="inlineStr">
        <is>
          <t>1992-01-28</t>
        </is>
      </c>
      <c r="Y32" t="n">
        <v>294</v>
      </c>
      <c r="Z32" t="n">
        <v>205</v>
      </c>
      <c r="AA32" t="n">
        <v>229</v>
      </c>
      <c r="AB32" t="n">
        <v>3</v>
      </c>
      <c r="AC32" t="n">
        <v>3</v>
      </c>
      <c r="AD32" t="n">
        <v>9</v>
      </c>
      <c r="AE32" t="n">
        <v>9</v>
      </c>
      <c r="AF32" t="n">
        <v>6</v>
      </c>
      <c r="AG32" t="n">
        <v>6</v>
      </c>
      <c r="AH32" t="n">
        <v>1</v>
      </c>
      <c r="AI32" t="n">
        <v>1</v>
      </c>
      <c r="AJ32" t="n">
        <v>4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HYPERLINK("http://catalog.hathitrust.org/Record/000306382","HathiTrust Record")</f>
        <v/>
      </c>
      <c r="AS32">
        <f>HYPERLINK("https://creighton-primo.hosted.exlibrisgroup.com/primo-explore/search?tab=default_tab&amp;search_scope=EVERYTHING&amp;vid=01CRU&amp;lang=en_US&amp;offset=0&amp;query=any,contains,991001785909702656","Catalog Record")</f>
        <v/>
      </c>
      <c r="AT32">
        <f>HYPERLINK("http://www.worldcat.org/oclc/7653077","WorldCat Record")</f>
        <v/>
      </c>
      <c r="AU32" t="inlineStr">
        <is>
          <t>509805:eng</t>
        </is>
      </c>
      <c r="AV32" t="inlineStr">
        <is>
          <t>7653077</t>
        </is>
      </c>
      <c r="AW32" t="inlineStr">
        <is>
          <t>991001785909702656</t>
        </is>
      </c>
      <c r="AX32" t="inlineStr">
        <is>
          <t>991001785909702656</t>
        </is>
      </c>
      <c r="AY32" t="inlineStr">
        <is>
          <t>2256349210002656</t>
        </is>
      </c>
      <c r="AZ32" t="inlineStr">
        <is>
          <t>BOOK</t>
        </is>
      </c>
      <c r="BB32" t="inlineStr">
        <is>
          <t>9780853122074</t>
        </is>
      </c>
      <c r="BC32" t="inlineStr">
        <is>
          <t>32285000899335</t>
        </is>
      </c>
      <c r="BD32" t="inlineStr">
        <is>
          <t>893684647</t>
        </is>
      </c>
    </row>
    <row r="33">
      <c r="A33" t="inlineStr">
        <is>
          <t>No</t>
        </is>
      </c>
      <c r="B33" t="inlineStr">
        <is>
          <t>RM301 .S43 1986</t>
        </is>
      </c>
      <c r="C33" t="inlineStr">
        <is>
          <t>0                      RM 0301000S  43          1986</t>
        </is>
      </c>
      <c r="D33" t="inlineStr">
        <is>
          <t>Drugs of choice : current perspectives on drug use / Richard G. Schlaadt, Peter T. Shannon.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Schlaadt, Richard G., 1935-</t>
        </is>
      </c>
      <c r="L33" t="inlineStr">
        <is>
          <t>Englewood Cliffs, N.J. : Prentice-Hall, c1986.</t>
        </is>
      </c>
      <c r="M33" t="inlineStr">
        <is>
          <t>1986</t>
        </is>
      </c>
      <c r="N33" t="inlineStr">
        <is>
          <t>2nd ed.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RM </t>
        </is>
      </c>
      <c r="S33" t="n">
        <v>6</v>
      </c>
      <c r="T33" t="n">
        <v>6</v>
      </c>
      <c r="U33" t="inlineStr">
        <is>
          <t>2006-02-21</t>
        </is>
      </c>
      <c r="V33" t="inlineStr">
        <is>
          <t>2006-02-21</t>
        </is>
      </c>
      <c r="W33" t="inlineStr">
        <is>
          <t>1998-12-07</t>
        </is>
      </c>
      <c r="X33" t="inlineStr">
        <is>
          <t>1998-12-07</t>
        </is>
      </c>
      <c r="Y33" t="n">
        <v>194</v>
      </c>
      <c r="Z33" t="n">
        <v>164</v>
      </c>
      <c r="AA33" t="n">
        <v>297</v>
      </c>
      <c r="AB33" t="n">
        <v>1</v>
      </c>
      <c r="AC33" t="n">
        <v>3</v>
      </c>
      <c r="AD33" t="n">
        <v>6</v>
      </c>
      <c r="AE33" t="n">
        <v>15</v>
      </c>
      <c r="AF33" t="n">
        <v>2</v>
      </c>
      <c r="AG33" t="n">
        <v>5</v>
      </c>
      <c r="AH33" t="n">
        <v>1</v>
      </c>
      <c r="AI33" t="n">
        <v>3</v>
      </c>
      <c r="AJ33" t="n">
        <v>6</v>
      </c>
      <c r="AK33" t="n">
        <v>8</v>
      </c>
      <c r="AL33" t="n">
        <v>0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HYPERLINK("http://catalog.hathitrust.org/Record/000435530","HathiTrust Record")</f>
        <v/>
      </c>
      <c r="AS33">
        <f>HYPERLINK("https://creighton-primo.hosted.exlibrisgroup.com/primo-explore/search?tab=default_tab&amp;search_scope=EVERYTHING&amp;vid=01CRU&amp;lang=en_US&amp;offset=0&amp;query=any,contains,991000677489702656","Catalog Record")</f>
        <v/>
      </c>
      <c r="AT33">
        <f>HYPERLINK("http://www.worldcat.org/oclc/12370198","WorldCat Record")</f>
        <v/>
      </c>
      <c r="AU33" t="inlineStr">
        <is>
          <t>5019620:eng</t>
        </is>
      </c>
      <c r="AV33" t="inlineStr">
        <is>
          <t>12370198</t>
        </is>
      </c>
      <c r="AW33" t="inlineStr">
        <is>
          <t>991000677489702656</t>
        </is>
      </c>
      <c r="AX33" t="inlineStr">
        <is>
          <t>991000677489702656</t>
        </is>
      </c>
      <c r="AY33" t="inlineStr">
        <is>
          <t>2261316630002656</t>
        </is>
      </c>
      <c r="AZ33" t="inlineStr">
        <is>
          <t>BOOK</t>
        </is>
      </c>
      <c r="BB33" t="inlineStr">
        <is>
          <t>9780132207409</t>
        </is>
      </c>
      <c r="BC33" t="inlineStr">
        <is>
          <t>32285003494282</t>
        </is>
      </c>
      <c r="BD33" t="inlineStr">
        <is>
          <t>893528282</t>
        </is>
      </c>
    </row>
    <row r="34">
      <c r="A34" t="inlineStr">
        <is>
          <t>No</t>
        </is>
      </c>
      <c r="B34" t="inlineStr">
        <is>
          <t>RM301 .S6 1985</t>
        </is>
      </c>
      <c r="C34" t="inlineStr">
        <is>
          <t>0                      RM 0301000S  6           1985</t>
        </is>
      </c>
      <c r="D34" t="inlineStr">
        <is>
          <t>Drug discovery : the evolution of modern medicines / Walter Sneader.</t>
        </is>
      </c>
      <c r="F34" t="inlineStr">
        <is>
          <t>No</t>
        </is>
      </c>
      <c r="G34" t="inlineStr">
        <is>
          <t>1</t>
        </is>
      </c>
      <c r="H34" t="inlineStr">
        <is>
          <t>Yes</t>
        </is>
      </c>
      <c r="I34" t="inlineStr">
        <is>
          <t>No</t>
        </is>
      </c>
      <c r="J34" t="inlineStr">
        <is>
          <t>0</t>
        </is>
      </c>
      <c r="K34" t="inlineStr">
        <is>
          <t>Sneader, Walter.</t>
        </is>
      </c>
      <c r="L34" t="inlineStr">
        <is>
          <t>Chichester ; New York : Wiley, c1985, 1986 printing.</t>
        </is>
      </c>
      <c r="M34" t="inlineStr">
        <is>
          <t>1985</t>
        </is>
      </c>
      <c r="O34" t="inlineStr">
        <is>
          <t>eng</t>
        </is>
      </c>
      <c r="P34" t="inlineStr">
        <is>
          <t>enk</t>
        </is>
      </c>
      <c r="Q34" t="inlineStr">
        <is>
          <t>A Wiley medical publication</t>
        </is>
      </c>
      <c r="R34" t="inlineStr">
        <is>
          <t xml:space="preserve">RM </t>
        </is>
      </c>
      <c r="S34" t="n">
        <v>8</v>
      </c>
      <c r="T34" t="n">
        <v>8</v>
      </c>
      <c r="U34" t="inlineStr">
        <is>
          <t>2000-09-10</t>
        </is>
      </c>
      <c r="V34" t="inlineStr">
        <is>
          <t>2000-09-10</t>
        </is>
      </c>
      <c r="W34" t="inlineStr">
        <is>
          <t>1993-05-14</t>
        </is>
      </c>
      <c r="X34" t="inlineStr">
        <is>
          <t>1993-05-14</t>
        </is>
      </c>
      <c r="Y34" t="n">
        <v>361</v>
      </c>
      <c r="Z34" t="n">
        <v>261</v>
      </c>
      <c r="AA34" t="n">
        <v>263</v>
      </c>
      <c r="AB34" t="n">
        <v>4</v>
      </c>
      <c r="AC34" t="n">
        <v>4</v>
      </c>
      <c r="AD34" t="n">
        <v>15</v>
      </c>
      <c r="AE34" t="n">
        <v>15</v>
      </c>
      <c r="AF34" t="n">
        <v>5</v>
      </c>
      <c r="AG34" t="n">
        <v>5</v>
      </c>
      <c r="AH34" t="n">
        <v>4</v>
      </c>
      <c r="AI34" t="n">
        <v>4</v>
      </c>
      <c r="AJ34" t="n">
        <v>6</v>
      </c>
      <c r="AK34" t="n">
        <v>6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HYPERLINK("http://catalog.hathitrust.org/Record/000350318","HathiTrust Record")</f>
        <v/>
      </c>
      <c r="AS34">
        <f>HYPERLINK("https://creighton-primo.hosted.exlibrisgroup.com/primo-explore/search?tab=default_tab&amp;search_scope=EVERYTHING&amp;vid=01CRU&amp;lang=en_US&amp;offset=0&amp;query=any,contains,991000571119702656","Catalog Record")</f>
        <v/>
      </c>
      <c r="AT34">
        <f>HYPERLINK("http://www.worldcat.org/oclc/11650496","WorldCat Record")</f>
        <v/>
      </c>
      <c r="AU34" t="inlineStr">
        <is>
          <t>3144530392:eng</t>
        </is>
      </c>
      <c r="AV34" t="inlineStr">
        <is>
          <t>11650496</t>
        </is>
      </c>
      <c r="AW34" t="inlineStr">
        <is>
          <t>991000571119702656</t>
        </is>
      </c>
      <c r="AX34" t="inlineStr">
        <is>
          <t>991000571119702656</t>
        </is>
      </c>
      <c r="AY34" t="inlineStr">
        <is>
          <t>2269874640002656</t>
        </is>
      </c>
      <c r="AZ34" t="inlineStr">
        <is>
          <t>BOOK</t>
        </is>
      </c>
      <c r="BB34" t="inlineStr">
        <is>
          <t>9780471904717</t>
        </is>
      </c>
      <c r="BC34" t="inlineStr">
        <is>
          <t>32285001656221</t>
        </is>
      </c>
      <c r="BD34" t="inlineStr">
        <is>
          <t>893321161</t>
        </is>
      </c>
    </row>
    <row r="35">
      <c r="A35" t="inlineStr">
        <is>
          <t>No</t>
        </is>
      </c>
      <c r="B35" t="inlineStr">
        <is>
          <t>RM301 .S92 1967b</t>
        </is>
      </c>
      <c r="C35" t="inlineStr">
        <is>
          <t>0                      RM 0301000S  92          1967b</t>
        </is>
      </c>
      <c r="D35" t="inlineStr">
        <is>
          <t>A symposium on drugs and sensory functions. Editor: Andrew Herxheimer.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Symposium on Drugs and Sensory Functions (1967 : London, England)</t>
        </is>
      </c>
      <c r="L35" t="inlineStr">
        <is>
          <t>Boston, Little, Brown, 1968.</t>
        </is>
      </c>
      <c r="M35" t="inlineStr">
        <is>
          <t>1968</t>
        </is>
      </c>
      <c r="O35" t="inlineStr">
        <is>
          <t>eng</t>
        </is>
      </c>
      <c r="P35" t="inlineStr">
        <is>
          <t>mau</t>
        </is>
      </c>
      <c r="R35" t="inlineStr">
        <is>
          <t xml:space="preserve">RM </t>
        </is>
      </c>
      <c r="S35" t="n">
        <v>2</v>
      </c>
      <c r="T35" t="n">
        <v>2</v>
      </c>
      <c r="U35" t="inlineStr">
        <is>
          <t>1995-03-31</t>
        </is>
      </c>
      <c r="V35" t="inlineStr">
        <is>
          <t>1995-03-31</t>
        </is>
      </c>
      <c r="W35" t="inlineStr">
        <is>
          <t>1995-02-28</t>
        </is>
      </c>
      <c r="X35" t="inlineStr">
        <is>
          <t>1995-02-28</t>
        </is>
      </c>
      <c r="Y35" t="n">
        <v>114</v>
      </c>
      <c r="Z35" t="n">
        <v>96</v>
      </c>
      <c r="AA35" t="n">
        <v>128</v>
      </c>
      <c r="AB35" t="n">
        <v>1</v>
      </c>
      <c r="AC35" t="n">
        <v>2</v>
      </c>
      <c r="AD35" t="n">
        <v>3</v>
      </c>
      <c r="AE35" t="n">
        <v>4</v>
      </c>
      <c r="AF35" t="n">
        <v>1</v>
      </c>
      <c r="AG35" t="n">
        <v>1</v>
      </c>
      <c r="AH35" t="n">
        <v>0</v>
      </c>
      <c r="AI35" t="n">
        <v>0</v>
      </c>
      <c r="AJ35" t="n">
        <v>2</v>
      </c>
      <c r="AK35" t="n">
        <v>2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HYPERLINK("http://catalog.hathitrust.org/Record/002431726","HathiTrust Record")</f>
        <v/>
      </c>
      <c r="AS35">
        <f>HYPERLINK("https://creighton-primo.hosted.exlibrisgroup.com/primo-explore/search?tab=default_tab&amp;search_scope=EVERYTHING&amp;vid=01CRU&amp;lang=en_US&amp;offset=0&amp;query=any,contains,991002786469702656","Catalog Record")</f>
        <v/>
      </c>
      <c r="AT35">
        <f>HYPERLINK("http://www.worldcat.org/oclc/441745","WorldCat Record")</f>
        <v/>
      </c>
      <c r="AU35" t="inlineStr">
        <is>
          <t>1461209:eng</t>
        </is>
      </c>
      <c r="AV35" t="inlineStr">
        <is>
          <t>441745</t>
        </is>
      </c>
      <c r="AW35" t="inlineStr">
        <is>
          <t>991002786469702656</t>
        </is>
      </c>
      <c r="AX35" t="inlineStr">
        <is>
          <t>991002786469702656</t>
        </is>
      </c>
      <c r="AY35" t="inlineStr">
        <is>
          <t>2255889490002656</t>
        </is>
      </c>
      <c r="AZ35" t="inlineStr">
        <is>
          <t>BOOK</t>
        </is>
      </c>
      <c r="BC35" t="inlineStr">
        <is>
          <t>32285002010634</t>
        </is>
      </c>
      <c r="BD35" t="inlineStr">
        <is>
          <t>893604028</t>
        </is>
      </c>
    </row>
    <row r="36">
      <c r="A36" t="inlineStr">
        <is>
          <t>No</t>
        </is>
      </c>
      <c r="B36" t="inlineStr">
        <is>
          <t>RM301 .W58 1988</t>
        </is>
      </c>
      <c r="C36" t="inlineStr">
        <is>
          <t>0                      RM 0301000W  58          1988</t>
        </is>
      </c>
      <c r="D36" t="inlineStr">
        <is>
          <t>Drugs and society / Weldon L. Witters, Peter J. Venturelli.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Witters, Weldon L.</t>
        </is>
      </c>
      <c r="L36" t="inlineStr">
        <is>
          <t>Boston : Jones and Bartlett Publishers, c1988.</t>
        </is>
      </c>
      <c r="M36" t="inlineStr">
        <is>
          <t>1988</t>
        </is>
      </c>
      <c r="N36" t="inlineStr">
        <is>
          <t>2nd ed.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RM </t>
        </is>
      </c>
      <c r="S36" t="n">
        <v>17</v>
      </c>
      <c r="T36" t="n">
        <v>17</v>
      </c>
      <c r="U36" t="inlineStr">
        <is>
          <t>2000-10-06</t>
        </is>
      </c>
      <c r="V36" t="inlineStr">
        <is>
          <t>2000-10-06</t>
        </is>
      </c>
      <c r="W36" t="inlineStr">
        <is>
          <t>1992-02-11</t>
        </is>
      </c>
      <c r="X36" t="inlineStr">
        <is>
          <t>1992-02-11</t>
        </is>
      </c>
      <c r="Y36" t="n">
        <v>184</v>
      </c>
      <c r="Z36" t="n">
        <v>153</v>
      </c>
      <c r="AA36" t="n">
        <v>1432</v>
      </c>
      <c r="AB36" t="n">
        <v>2</v>
      </c>
      <c r="AC36" t="n">
        <v>43</v>
      </c>
      <c r="AD36" t="n">
        <v>4</v>
      </c>
      <c r="AE36" t="n">
        <v>38</v>
      </c>
      <c r="AF36" t="n">
        <v>3</v>
      </c>
      <c r="AG36" t="n">
        <v>17</v>
      </c>
      <c r="AH36" t="n">
        <v>1</v>
      </c>
      <c r="AI36" t="n">
        <v>6</v>
      </c>
      <c r="AJ36" t="n">
        <v>3</v>
      </c>
      <c r="AK36" t="n">
        <v>13</v>
      </c>
      <c r="AL36" t="n">
        <v>0</v>
      </c>
      <c r="AM36" t="n">
        <v>12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HYPERLINK("http://catalog.hathitrust.org/Record/001080054","HathiTrust Record")</f>
        <v/>
      </c>
      <c r="AS36">
        <f>HYPERLINK("https://creighton-primo.hosted.exlibrisgroup.com/primo-explore/search?tab=default_tab&amp;search_scope=EVERYTHING&amp;vid=01CRU&amp;lang=en_US&amp;offset=0&amp;query=any,contains,991001189129702656","Catalog Record")</f>
        <v/>
      </c>
      <c r="AT36">
        <f>HYPERLINK("http://www.worldcat.org/oclc/17234211","WorldCat Record")</f>
        <v/>
      </c>
      <c r="AU36" t="inlineStr">
        <is>
          <t>592508:eng</t>
        </is>
      </c>
      <c r="AV36" t="inlineStr">
        <is>
          <t>17234211</t>
        </is>
      </c>
      <c r="AW36" t="inlineStr">
        <is>
          <t>991001189129702656</t>
        </is>
      </c>
      <c r="AX36" t="inlineStr">
        <is>
          <t>991001189129702656</t>
        </is>
      </c>
      <c r="AY36" t="inlineStr">
        <is>
          <t>2271906650002656</t>
        </is>
      </c>
      <c r="AZ36" t="inlineStr">
        <is>
          <t>BOOK</t>
        </is>
      </c>
      <c r="BB36" t="inlineStr">
        <is>
          <t>9780867204100</t>
        </is>
      </c>
      <c r="BC36" t="inlineStr">
        <is>
          <t>32285000954833</t>
        </is>
      </c>
      <c r="BD36" t="inlineStr">
        <is>
          <t>893684134</t>
        </is>
      </c>
    </row>
    <row r="37">
      <c r="A37" t="inlineStr">
        <is>
          <t>No</t>
        </is>
      </c>
      <c r="B37" t="inlineStr">
        <is>
          <t>RM301.25 .B69 2003</t>
        </is>
      </c>
      <c r="C37" t="inlineStr">
        <is>
          <t>0                      RM 0301250B  69          2003</t>
        </is>
      </c>
      <c r="D37" t="inlineStr">
        <is>
          <t>Pharmaceutical achievers : the human face of pharmaceutical research / by Mary Ellen Bowden, Amy Beth Crow, and Tracy Sullivan.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Bowden, Mary Ellen.</t>
        </is>
      </c>
      <c r="L37" t="inlineStr">
        <is>
          <t>Phialdelphia, PA : Chemical Heritage Press, 2003.</t>
        </is>
      </c>
      <c r="M37" t="inlineStr">
        <is>
          <t>2003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RM </t>
        </is>
      </c>
      <c r="S37" t="n">
        <v>2</v>
      </c>
      <c r="T37" t="n">
        <v>2</v>
      </c>
      <c r="U37" t="inlineStr">
        <is>
          <t>2003-04-03</t>
        </is>
      </c>
      <c r="V37" t="inlineStr">
        <is>
          <t>2003-04-03</t>
        </is>
      </c>
      <c r="W37" t="inlineStr">
        <is>
          <t>2003-04-03</t>
        </is>
      </c>
      <c r="X37" t="inlineStr">
        <is>
          <t>2003-04-03</t>
        </is>
      </c>
      <c r="Y37" t="n">
        <v>70</v>
      </c>
      <c r="Z37" t="n">
        <v>59</v>
      </c>
      <c r="AA37" t="n">
        <v>63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HYPERLINK("http://catalog.hathitrust.org/Record/004318738","HathiTrust Record")</f>
        <v/>
      </c>
      <c r="AS37">
        <f>HYPERLINK("https://creighton-primo.hosted.exlibrisgroup.com/primo-explore/search?tab=default_tab&amp;search_scope=EVERYTHING&amp;vid=01CRU&amp;lang=en_US&amp;offset=0&amp;query=any,contains,991003999539702656","Catalog Record")</f>
        <v/>
      </c>
      <c r="AT37">
        <f>HYPERLINK("http://www.worldcat.org/oclc/48249219","WorldCat Record")</f>
        <v/>
      </c>
      <c r="AU37" t="inlineStr">
        <is>
          <t>437666145:eng</t>
        </is>
      </c>
      <c r="AV37" t="inlineStr">
        <is>
          <t>48249219</t>
        </is>
      </c>
      <c r="AW37" t="inlineStr">
        <is>
          <t>991003999539702656</t>
        </is>
      </c>
      <c r="AX37" t="inlineStr">
        <is>
          <t>991003999539702656</t>
        </is>
      </c>
      <c r="AY37" t="inlineStr">
        <is>
          <t>2262211720002656</t>
        </is>
      </c>
      <c r="AZ37" t="inlineStr">
        <is>
          <t>BOOK</t>
        </is>
      </c>
      <c r="BB37" t="inlineStr">
        <is>
          <t>9780941901307</t>
        </is>
      </c>
      <c r="BC37" t="inlineStr">
        <is>
          <t>32285004689518</t>
        </is>
      </c>
      <c r="BD37" t="inlineStr">
        <is>
          <t>893593147</t>
        </is>
      </c>
    </row>
    <row r="38">
      <c r="A38" t="inlineStr">
        <is>
          <t>No</t>
        </is>
      </c>
      <c r="B38" t="inlineStr">
        <is>
          <t>RM301.3.C47 P57 1997</t>
        </is>
      </c>
      <c r="C38" t="inlineStr">
        <is>
          <t>0                      RM 0301300C  47                 P  57          1997</t>
        </is>
      </c>
      <c r="D38" t="inlineStr">
        <is>
          <t>Physiology and pharmacology of biological rhythms / contributors, F. Andreotti ... [etal.] ; editors, P.H. Redfern and B. Lemmer.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Berlin ; New York : Springer, c1997.</t>
        </is>
      </c>
      <c r="M38" t="inlineStr">
        <is>
          <t>1997</t>
        </is>
      </c>
      <c r="O38" t="inlineStr">
        <is>
          <t>eng</t>
        </is>
      </c>
      <c r="P38" t="inlineStr">
        <is>
          <t xml:space="preserve">gw </t>
        </is>
      </c>
      <c r="Q38" t="inlineStr">
        <is>
          <t>Handbook of experimental pharmacology ; v. 125</t>
        </is>
      </c>
      <c r="R38" t="inlineStr">
        <is>
          <t xml:space="preserve">RM </t>
        </is>
      </c>
      <c r="S38" t="n">
        <v>5</v>
      </c>
      <c r="T38" t="n">
        <v>5</v>
      </c>
      <c r="U38" t="inlineStr">
        <is>
          <t>2003-01-07</t>
        </is>
      </c>
      <c r="V38" t="inlineStr">
        <is>
          <t>2003-01-07</t>
        </is>
      </c>
      <c r="W38" t="inlineStr">
        <is>
          <t>1998-08-12</t>
        </is>
      </c>
      <c r="X38" t="inlineStr">
        <is>
          <t>1998-08-12</t>
        </is>
      </c>
      <c r="Y38" t="n">
        <v>154</v>
      </c>
      <c r="Z38" t="n">
        <v>84</v>
      </c>
      <c r="AA38" t="n">
        <v>116</v>
      </c>
      <c r="AB38" t="n">
        <v>1</v>
      </c>
      <c r="AC38" t="n">
        <v>1</v>
      </c>
      <c r="AD38" t="n">
        <v>2</v>
      </c>
      <c r="AE38" t="n">
        <v>4</v>
      </c>
      <c r="AF38" t="n">
        <v>0</v>
      </c>
      <c r="AG38" t="n">
        <v>1</v>
      </c>
      <c r="AH38" t="n">
        <v>2</v>
      </c>
      <c r="AI38" t="n">
        <v>2</v>
      </c>
      <c r="AJ38" t="n">
        <v>0</v>
      </c>
      <c r="AK38" t="n">
        <v>2</v>
      </c>
      <c r="AL38" t="n">
        <v>0</v>
      </c>
      <c r="AM38" t="n">
        <v>0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HYPERLINK("http://catalog.hathitrust.org/Record/003135666","HathiTrust Record")</f>
        <v/>
      </c>
      <c r="AS38">
        <f>HYPERLINK("https://creighton-primo.hosted.exlibrisgroup.com/primo-explore/search?tab=default_tab&amp;search_scope=EVERYTHING&amp;vid=01CRU&amp;lang=en_US&amp;offset=0&amp;query=any,contains,991005424509702656","Catalog Record")</f>
        <v/>
      </c>
      <c r="AT38">
        <f>HYPERLINK("http://www.worldcat.org/oclc/35198557","WorldCat Record")</f>
        <v/>
      </c>
      <c r="AU38" t="inlineStr">
        <is>
          <t>358715002:eng</t>
        </is>
      </c>
      <c r="AV38" t="inlineStr">
        <is>
          <t>35198557</t>
        </is>
      </c>
      <c r="AW38" t="inlineStr">
        <is>
          <t>991005424509702656</t>
        </is>
      </c>
      <c r="AX38" t="inlineStr">
        <is>
          <t>991005424509702656</t>
        </is>
      </c>
      <c r="AY38" t="inlineStr">
        <is>
          <t>2260338690002656</t>
        </is>
      </c>
      <c r="AZ38" t="inlineStr">
        <is>
          <t>BOOK</t>
        </is>
      </c>
      <c r="BB38" t="inlineStr">
        <is>
          <t>9783540615255</t>
        </is>
      </c>
      <c r="BC38" t="inlineStr">
        <is>
          <t>32285003452520</t>
        </is>
      </c>
      <c r="BD38" t="inlineStr">
        <is>
          <t>893777459</t>
        </is>
      </c>
    </row>
    <row r="39">
      <c r="A39" t="inlineStr">
        <is>
          <t>No</t>
        </is>
      </c>
      <c r="B39" t="inlineStr">
        <is>
          <t>RM301.3.G45 G46 1991</t>
        </is>
      </c>
      <c r="C39" t="inlineStr">
        <is>
          <t>0                      RM 0301300G  45                 G  46          1991</t>
        </is>
      </c>
      <c r="D39" t="inlineStr">
        <is>
          <t>The Genetic basis of alcohol and drug actions / edited by John C. Crabbe, Jr. and R. Adron Harris.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Plenum Press, c1991.</t>
        </is>
      </c>
      <c r="M39" t="inlineStr">
        <is>
          <t>1991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RM </t>
        </is>
      </c>
      <c r="S39" t="n">
        <v>14</v>
      </c>
      <c r="T39" t="n">
        <v>14</v>
      </c>
      <c r="U39" t="inlineStr">
        <is>
          <t>1999-09-16</t>
        </is>
      </c>
      <c r="V39" t="inlineStr">
        <is>
          <t>1999-09-16</t>
        </is>
      </c>
      <c r="W39" t="inlineStr">
        <is>
          <t>1994-01-20</t>
        </is>
      </c>
      <c r="X39" t="inlineStr">
        <is>
          <t>1994-01-20</t>
        </is>
      </c>
      <c r="Y39" t="n">
        <v>192</v>
      </c>
      <c r="Z39" t="n">
        <v>141</v>
      </c>
      <c r="AA39" t="n">
        <v>167</v>
      </c>
      <c r="AB39" t="n">
        <v>2</v>
      </c>
      <c r="AC39" t="n">
        <v>2</v>
      </c>
      <c r="AD39" t="n">
        <v>5</v>
      </c>
      <c r="AE39" t="n">
        <v>6</v>
      </c>
      <c r="AF39" t="n">
        <v>2</v>
      </c>
      <c r="AG39" t="n">
        <v>3</v>
      </c>
      <c r="AH39" t="n">
        <v>2</v>
      </c>
      <c r="AI39" t="n">
        <v>2</v>
      </c>
      <c r="AJ39" t="n">
        <v>0</v>
      </c>
      <c r="AK39" t="n">
        <v>1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HYPERLINK("https://creighton-primo.hosted.exlibrisgroup.com/primo-explore/search?tab=default_tab&amp;search_scope=EVERYTHING&amp;vid=01CRU&amp;lang=en_US&amp;offset=0&amp;query=any,contains,991001921059702656","Catalog Record")</f>
        <v/>
      </c>
      <c r="AT39">
        <f>HYPERLINK("http://www.worldcat.org/oclc/24246866","WorldCat Record")</f>
        <v/>
      </c>
      <c r="AU39" t="inlineStr">
        <is>
          <t>350246424:eng</t>
        </is>
      </c>
      <c r="AV39" t="inlineStr">
        <is>
          <t>24246866</t>
        </is>
      </c>
      <c r="AW39" t="inlineStr">
        <is>
          <t>991001921059702656</t>
        </is>
      </c>
      <c r="AX39" t="inlineStr">
        <is>
          <t>991001921059702656</t>
        </is>
      </c>
      <c r="AY39" t="inlineStr">
        <is>
          <t>2264061020002656</t>
        </is>
      </c>
      <c r="AZ39" t="inlineStr">
        <is>
          <t>BOOK</t>
        </is>
      </c>
      <c r="BB39" t="inlineStr">
        <is>
          <t>9780306438684</t>
        </is>
      </c>
      <c r="BC39" t="inlineStr">
        <is>
          <t>32285001832087</t>
        </is>
      </c>
      <c r="BD39" t="inlineStr">
        <is>
          <t>893510073</t>
        </is>
      </c>
    </row>
    <row r="40">
      <c r="A40" t="inlineStr">
        <is>
          <t>No</t>
        </is>
      </c>
      <c r="B40" t="inlineStr">
        <is>
          <t>RM301.41 .S58 1995</t>
        </is>
      </c>
      <c r="C40" t="inlineStr">
        <is>
          <t>0                      RM 0301410S  58          1995</t>
        </is>
      </c>
      <c r="D40" t="inlineStr">
        <is>
          <t>Sites of drug action in the human brain / edited by Anat Biegon, Nora D. Volkow.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Boca Raton : CRC Press, c1995.</t>
        </is>
      </c>
      <c r="M40" t="inlineStr">
        <is>
          <t>1995</t>
        </is>
      </c>
      <c r="O40" t="inlineStr">
        <is>
          <t>eng</t>
        </is>
      </c>
      <c r="P40" t="inlineStr">
        <is>
          <t>flu</t>
        </is>
      </c>
      <c r="R40" t="inlineStr">
        <is>
          <t xml:space="preserve">RM </t>
        </is>
      </c>
      <c r="S40" t="n">
        <v>11</v>
      </c>
      <c r="T40" t="n">
        <v>11</v>
      </c>
      <c r="U40" t="inlineStr">
        <is>
          <t>1999-03-22</t>
        </is>
      </c>
      <c r="V40" t="inlineStr">
        <is>
          <t>1999-03-22</t>
        </is>
      </c>
      <c r="W40" t="inlineStr">
        <is>
          <t>1996-10-30</t>
        </is>
      </c>
      <c r="X40" t="inlineStr">
        <is>
          <t>1996-10-30</t>
        </is>
      </c>
      <c r="Y40" t="n">
        <v>112</v>
      </c>
      <c r="Z40" t="n">
        <v>94</v>
      </c>
      <c r="AA40" t="n">
        <v>120</v>
      </c>
      <c r="AB40" t="n">
        <v>2</v>
      </c>
      <c r="AC40" t="n">
        <v>2</v>
      </c>
      <c r="AD40" t="n">
        <v>5</v>
      </c>
      <c r="AE40" t="n">
        <v>5</v>
      </c>
      <c r="AF40" t="n">
        <v>1</v>
      </c>
      <c r="AG40" t="n">
        <v>1</v>
      </c>
      <c r="AH40" t="n">
        <v>2</v>
      </c>
      <c r="AI40" t="n">
        <v>2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HYPERLINK("https://creighton-primo.hosted.exlibrisgroup.com/primo-explore/search?tab=default_tab&amp;search_scope=EVERYTHING&amp;vid=01CRU&amp;lang=en_US&amp;offset=0&amp;query=any,contains,991002422809702656","Catalog Record")</f>
        <v/>
      </c>
      <c r="AT40">
        <f>HYPERLINK("http://www.worldcat.org/oclc/31604964","WorldCat Record")</f>
        <v/>
      </c>
      <c r="AU40" t="inlineStr">
        <is>
          <t>33275010:eng</t>
        </is>
      </c>
      <c r="AV40" t="inlineStr">
        <is>
          <t>31604964</t>
        </is>
      </c>
      <c r="AW40" t="inlineStr">
        <is>
          <t>991002422809702656</t>
        </is>
      </c>
      <c r="AX40" t="inlineStr">
        <is>
          <t>991002422809702656</t>
        </is>
      </c>
      <c r="AY40" t="inlineStr">
        <is>
          <t>2266032050002656</t>
        </is>
      </c>
      <c r="AZ40" t="inlineStr">
        <is>
          <t>BOOK</t>
        </is>
      </c>
      <c r="BB40" t="inlineStr">
        <is>
          <t>9780849376535</t>
        </is>
      </c>
      <c r="BC40" t="inlineStr">
        <is>
          <t>32285002379252</t>
        </is>
      </c>
      <c r="BD40" t="inlineStr">
        <is>
          <t>893685345</t>
        </is>
      </c>
    </row>
    <row r="41">
      <c r="A41" t="inlineStr">
        <is>
          <t>No</t>
        </is>
      </c>
      <c r="B41" t="inlineStr">
        <is>
          <t>RM315 .A22</t>
        </is>
      </c>
      <c r="C41" t="inlineStr">
        <is>
          <t>0                      RM 0315000A  22</t>
        </is>
      </c>
      <c r="D41" t="inlineStr">
        <is>
          <t>Drugs and behavior : a primer in neuropsychopharmacology / [by] Ernest L. Abel.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Abel, Ernest L., 1943-</t>
        </is>
      </c>
      <c r="L41" t="inlineStr">
        <is>
          <t>New York : Wiley, [1974]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RM </t>
        </is>
      </c>
      <c r="S41" t="n">
        <v>7</v>
      </c>
      <c r="T41" t="n">
        <v>7</v>
      </c>
      <c r="U41" t="inlineStr">
        <is>
          <t>1998-12-07</t>
        </is>
      </c>
      <c r="V41" t="inlineStr">
        <is>
          <t>1998-12-07</t>
        </is>
      </c>
      <c r="W41" t="inlineStr">
        <is>
          <t>1995-02-21</t>
        </is>
      </c>
      <c r="X41" t="inlineStr">
        <is>
          <t>1995-02-21</t>
        </is>
      </c>
      <c r="Y41" t="n">
        <v>373</v>
      </c>
      <c r="Z41" t="n">
        <v>276</v>
      </c>
      <c r="AA41" t="n">
        <v>303</v>
      </c>
      <c r="AB41" t="n">
        <v>3</v>
      </c>
      <c r="AC41" t="n">
        <v>3</v>
      </c>
      <c r="AD41" t="n">
        <v>9</v>
      </c>
      <c r="AE41" t="n">
        <v>10</v>
      </c>
      <c r="AF41" t="n">
        <v>4</v>
      </c>
      <c r="AG41" t="n">
        <v>5</v>
      </c>
      <c r="AH41" t="n">
        <v>1</v>
      </c>
      <c r="AI41" t="n">
        <v>1</v>
      </c>
      <c r="AJ41" t="n">
        <v>5</v>
      </c>
      <c r="AK41" t="n">
        <v>5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HYPERLINK("http://catalog.hathitrust.org/Record/001573051","HathiTrust Record")</f>
        <v/>
      </c>
      <c r="AS41">
        <f>HYPERLINK("https://creighton-primo.hosted.exlibrisgroup.com/primo-explore/search?tab=default_tab&amp;search_scope=EVERYTHING&amp;vid=01CRU&amp;lang=en_US&amp;offset=0&amp;query=any,contains,991003379729702656","Catalog Record")</f>
        <v/>
      </c>
      <c r="AT41">
        <f>HYPERLINK("http://www.worldcat.org/oclc/915822","WorldCat Record")</f>
        <v/>
      </c>
      <c r="AU41" t="inlineStr">
        <is>
          <t>836676266:eng</t>
        </is>
      </c>
      <c r="AV41" t="inlineStr">
        <is>
          <t>915822</t>
        </is>
      </c>
      <c r="AW41" t="inlineStr">
        <is>
          <t>991003379729702656</t>
        </is>
      </c>
      <c r="AX41" t="inlineStr">
        <is>
          <t>991003379729702656</t>
        </is>
      </c>
      <c r="AY41" t="inlineStr">
        <is>
          <t>2264782400002656</t>
        </is>
      </c>
      <c r="AZ41" t="inlineStr">
        <is>
          <t>BOOK</t>
        </is>
      </c>
      <c r="BB41" t="inlineStr">
        <is>
          <t>9780471001553</t>
        </is>
      </c>
      <c r="BC41" t="inlineStr">
        <is>
          <t>32285001989143</t>
        </is>
      </c>
      <c r="BD41" t="inlineStr">
        <is>
          <t>893441242</t>
        </is>
      </c>
    </row>
    <row r="42">
      <c r="A42" t="inlineStr">
        <is>
          <t>No</t>
        </is>
      </c>
      <c r="B42" t="inlineStr">
        <is>
          <t>RM315 .B53</t>
        </is>
      </c>
      <c r="C42" t="inlineStr">
        <is>
          <t>0                      RM 0315000B  53</t>
        </is>
      </c>
      <c r="D42" t="inlineStr">
        <is>
          <t>Drugs and the brain : papers on the action, use, and abuse of psychotropic agents / edited by Perry Black.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Black, Perry, 1930-</t>
        </is>
      </c>
      <c r="L42" t="inlineStr">
        <is>
          <t>Baltimore : Johns Hopkins Press, [1969]</t>
        </is>
      </c>
      <c r="M42" t="inlineStr">
        <is>
          <t>1969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RM </t>
        </is>
      </c>
      <c r="S42" t="n">
        <v>21</v>
      </c>
      <c r="T42" t="n">
        <v>21</v>
      </c>
      <c r="U42" t="inlineStr">
        <is>
          <t>2006-03-28</t>
        </is>
      </c>
      <c r="V42" t="inlineStr">
        <is>
          <t>2006-03-28</t>
        </is>
      </c>
      <c r="W42" t="inlineStr">
        <is>
          <t>1992-11-18</t>
        </is>
      </c>
      <c r="X42" t="inlineStr">
        <is>
          <t>1992-11-18</t>
        </is>
      </c>
      <c r="Y42" t="n">
        <v>491</v>
      </c>
      <c r="Z42" t="n">
        <v>423</v>
      </c>
      <c r="AA42" t="n">
        <v>432</v>
      </c>
      <c r="AB42" t="n">
        <v>5</v>
      </c>
      <c r="AC42" t="n">
        <v>5</v>
      </c>
      <c r="AD42" t="n">
        <v>22</v>
      </c>
      <c r="AE42" t="n">
        <v>22</v>
      </c>
      <c r="AF42" t="n">
        <v>7</v>
      </c>
      <c r="AG42" t="n">
        <v>7</v>
      </c>
      <c r="AH42" t="n">
        <v>3</v>
      </c>
      <c r="AI42" t="n">
        <v>3</v>
      </c>
      <c r="AJ42" t="n">
        <v>11</v>
      </c>
      <c r="AK42" t="n">
        <v>11</v>
      </c>
      <c r="AL42" t="n">
        <v>4</v>
      </c>
      <c r="AM42" t="n">
        <v>4</v>
      </c>
      <c r="AN42" t="n">
        <v>2</v>
      </c>
      <c r="AO42" t="n">
        <v>2</v>
      </c>
      <c r="AP42" t="inlineStr">
        <is>
          <t>No</t>
        </is>
      </c>
      <c r="AQ42" t="inlineStr">
        <is>
          <t>Yes</t>
        </is>
      </c>
      <c r="AR42">
        <f>HYPERLINK("http://catalog.hathitrust.org/Record/001573054","HathiTrust Record")</f>
        <v/>
      </c>
      <c r="AS42">
        <f>HYPERLINK("https://creighton-primo.hosted.exlibrisgroup.com/primo-explore/search?tab=default_tab&amp;search_scope=EVERYTHING&amp;vid=01CRU&amp;lang=en_US&amp;offset=0&amp;query=any,contains,991000001959702656","Catalog Record")</f>
        <v/>
      </c>
      <c r="AT42">
        <f>HYPERLINK("http://www.worldcat.org/oclc/10827","WorldCat Record")</f>
        <v/>
      </c>
      <c r="AU42" t="inlineStr">
        <is>
          <t>1133921:eng</t>
        </is>
      </c>
      <c r="AV42" t="inlineStr">
        <is>
          <t>10827</t>
        </is>
      </c>
      <c r="AW42" t="inlineStr">
        <is>
          <t>991000001959702656</t>
        </is>
      </c>
      <c r="AX42" t="inlineStr">
        <is>
          <t>991000001959702656</t>
        </is>
      </c>
      <c r="AY42" t="inlineStr">
        <is>
          <t>2268011120002656</t>
        </is>
      </c>
      <c r="AZ42" t="inlineStr">
        <is>
          <t>BOOK</t>
        </is>
      </c>
      <c r="BB42" t="inlineStr">
        <is>
          <t>9780801810022</t>
        </is>
      </c>
      <c r="BC42" t="inlineStr">
        <is>
          <t>32285001405546</t>
        </is>
      </c>
      <c r="BD42" t="inlineStr">
        <is>
          <t>893683067</t>
        </is>
      </c>
    </row>
    <row r="43">
      <c r="A43" t="inlineStr">
        <is>
          <t>No</t>
        </is>
      </c>
      <c r="B43" t="inlineStr">
        <is>
          <t>RM315 .B657 1996</t>
        </is>
      </c>
      <c r="C43" t="inlineStr">
        <is>
          <t>0                      RM 0315000B  657         1996</t>
        </is>
      </c>
      <c r="D43" t="inlineStr">
        <is>
          <t>Brain mechanisms and psychotropic drugs / edited by Andrius Baskys, Gary Remington.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Boca Raton : CRC Press, c1996.</t>
        </is>
      </c>
      <c r="M43" t="inlineStr">
        <is>
          <t>1996</t>
        </is>
      </c>
      <c r="O43" t="inlineStr">
        <is>
          <t>eng</t>
        </is>
      </c>
      <c r="P43" t="inlineStr">
        <is>
          <t>flu</t>
        </is>
      </c>
      <c r="Q43" t="inlineStr">
        <is>
          <t>Pharmacology and toxicology</t>
        </is>
      </c>
      <c r="R43" t="inlineStr">
        <is>
          <t xml:space="preserve">RM </t>
        </is>
      </c>
      <c r="S43" t="n">
        <v>7</v>
      </c>
      <c r="T43" t="n">
        <v>7</v>
      </c>
      <c r="U43" t="inlineStr">
        <is>
          <t>1999-03-22</t>
        </is>
      </c>
      <c r="V43" t="inlineStr">
        <is>
          <t>1999-03-22</t>
        </is>
      </c>
      <c r="W43" t="inlineStr">
        <is>
          <t>1996-09-10</t>
        </is>
      </c>
      <c r="X43" t="inlineStr">
        <is>
          <t>1996-09-10</t>
        </is>
      </c>
      <c r="Y43" t="n">
        <v>156</v>
      </c>
      <c r="Z43" t="n">
        <v>110</v>
      </c>
      <c r="AA43" t="n">
        <v>111</v>
      </c>
      <c r="AB43" t="n">
        <v>2</v>
      </c>
      <c r="AC43" t="n">
        <v>2</v>
      </c>
      <c r="AD43" t="n">
        <v>5</v>
      </c>
      <c r="AE43" t="n">
        <v>5</v>
      </c>
      <c r="AF43" t="n">
        <v>2</v>
      </c>
      <c r="AG43" t="n">
        <v>2</v>
      </c>
      <c r="AH43" t="n">
        <v>1</v>
      </c>
      <c r="AI43" t="n">
        <v>1</v>
      </c>
      <c r="AJ43" t="n">
        <v>3</v>
      </c>
      <c r="AK43" t="n">
        <v>3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HYPERLINK("https://creighton-primo.hosted.exlibrisgroup.com/primo-explore/search?tab=default_tab&amp;search_scope=EVERYTHING&amp;vid=01CRU&amp;lang=en_US&amp;offset=0&amp;query=any,contains,991002575339702656","Catalog Record")</f>
        <v/>
      </c>
      <c r="AT43">
        <f>HYPERLINK("http://www.worldcat.org/oclc/33489224","WorldCat Record")</f>
        <v/>
      </c>
      <c r="AU43" t="inlineStr">
        <is>
          <t>355743299:eng</t>
        </is>
      </c>
      <c r="AV43" t="inlineStr">
        <is>
          <t>33489224</t>
        </is>
      </c>
      <c r="AW43" t="inlineStr">
        <is>
          <t>991002575339702656</t>
        </is>
      </c>
      <c r="AX43" t="inlineStr">
        <is>
          <t>991002575339702656</t>
        </is>
      </c>
      <c r="AY43" t="inlineStr">
        <is>
          <t>2266097150002656</t>
        </is>
      </c>
      <c r="AZ43" t="inlineStr">
        <is>
          <t>BOOK</t>
        </is>
      </c>
      <c r="BB43" t="inlineStr">
        <is>
          <t>9780849383861</t>
        </is>
      </c>
      <c r="BC43" t="inlineStr">
        <is>
          <t>32285002316395</t>
        </is>
      </c>
      <c r="BD43" t="inlineStr">
        <is>
          <t>893251396</t>
        </is>
      </c>
    </row>
    <row r="44">
      <c r="A44" t="inlineStr">
        <is>
          <t>No</t>
        </is>
      </c>
      <c r="B44" t="inlineStr">
        <is>
          <t>RM315 .C4 1970</t>
        </is>
      </c>
      <c r="C44" t="inlineStr">
        <is>
          <t>0                      RM 0315000C  4           1970</t>
        </is>
      </c>
      <c r="D44" t="inlineStr">
        <is>
          <t>Drugs, development, and cerebral function : [papers] / compiled and edited by W. Lynn Smith. With a foreword by Marcel Kinsbourne.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Cerebral Function Symposium (2nd : 1970 : Denver, Colo.)</t>
        </is>
      </c>
      <c r="L44" t="inlineStr">
        <is>
          <t>Springfield, Ill. : Thomas, [1972]</t>
        </is>
      </c>
      <c r="M44" t="inlineStr">
        <is>
          <t>1972</t>
        </is>
      </c>
      <c r="O44" t="inlineStr">
        <is>
          <t>eng</t>
        </is>
      </c>
      <c r="P44" t="inlineStr">
        <is>
          <t>ilu</t>
        </is>
      </c>
      <c r="R44" t="inlineStr">
        <is>
          <t xml:space="preserve">RM </t>
        </is>
      </c>
      <c r="S44" t="n">
        <v>4</v>
      </c>
      <c r="T44" t="n">
        <v>4</v>
      </c>
      <c r="U44" t="inlineStr">
        <is>
          <t>2006-03-28</t>
        </is>
      </c>
      <c r="V44" t="inlineStr">
        <is>
          <t>2006-03-28</t>
        </is>
      </c>
      <c r="W44" t="inlineStr">
        <is>
          <t>1994-05-06</t>
        </is>
      </c>
      <c r="X44" t="inlineStr">
        <is>
          <t>1994-05-06</t>
        </is>
      </c>
      <c r="Y44" t="n">
        <v>175</v>
      </c>
      <c r="Z44" t="n">
        <v>144</v>
      </c>
      <c r="AA44" t="n">
        <v>146</v>
      </c>
      <c r="AB44" t="n">
        <v>2</v>
      </c>
      <c r="AC44" t="n">
        <v>2</v>
      </c>
      <c r="AD44" t="n">
        <v>2</v>
      </c>
      <c r="AE44" t="n">
        <v>2</v>
      </c>
      <c r="AF44" t="n">
        <v>1</v>
      </c>
      <c r="AG44" t="n">
        <v>1</v>
      </c>
      <c r="AH44" t="n">
        <v>0</v>
      </c>
      <c r="AI44" t="n">
        <v>0</v>
      </c>
      <c r="AJ44" t="n">
        <v>0</v>
      </c>
      <c r="AK44" t="n">
        <v>0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HYPERLINK("http://catalog.hathitrust.org/Record/001579296","HathiTrust Record")</f>
        <v/>
      </c>
      <c r="AS44">
        <f>HYPERLINK("https://creighton-primo.hosted.exlibrisgroup.com/primo-explore/search?tab=default_tab&amp;search_scope=EVERYTHING&amp;vid=01CRU&amp;lang=en_US&amp;offset=0&amp;query=any,contains,991002173299702656","Catalog Record")</f>
        <v/>
      </c>
      <c r="AT44">
        <f>HYPERLINK("http://www.worldcat.org/oclc/277443","WorldCat Record")</f>
        <v/>
      </c>
      <c r="AU44" t="inlineStr">
        <is>
          <t>3856535319:eng</t>
        </is>
      </c>
      <c r="AV44" t="inlineStr">
        <is>
          <t>277443</t>
        </is>
      </c>
      <c r="AW44" t="inlineStr">
        <is>
          <t>991002173299702656</t>
        </is>
      </c>
      <c r="AX44" t="inlineStr">
        <is>
          <t>991002173299702656</t>
        </is>
      </c>
      <c r="AY44" t="inlineStr">
        <is>
          <t>2260291010002656</t>
        </is>
      </c>
      <c r="AZ44" t="inlineStr">
        <is>
          <t>BOOK</t>
        </is>
      </c>
      <c r="BB44" t="inlineStr">
        <is>
          <t>9780398024178</t>
        </is>
      </c>
      <c r="BC44" t="inlineStr">
        <is>
          <t>32285001907160</t>
        </is>
      </c>
      <c r="BD44" t="inlineStr">
        <is>
          <t>893792105</t>
        </is>
      </c>
    </row>
    <row r="45">
      <c r="A45" t="inlineStr">
        <is>
          <t>No</t>
        </is>
      </c>
      <c r="B45" t="inlineStr">
        <is>
          <t>RM315 .G73</t>
        </is>
      </c>
      <c r="C45" t="inlineStr">
        <is>
          <t>0                      RM 0315000G  73</t>
        </is>
      </c>
      <c r="D45" t="inlineStr">
        <is>
          <t>About mind-altering drugs and the brain / by Henry F. Greenberg and Wallace D. Winters.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Greenberg, Henry F.</t>
        </is>
      </c>
      <c r="L45" t="inlineStr">
        <is>
          <t>California : The Rotary Club of Pacific Palisades, c1971.</t>
        </is>
      </c>
      <c r="M45" t="inlineStr">
        <is>
          <t>1971</t>
        </is>
      </c>
      <c r="O45" t="inlineStr">
        <is>
          <t>eng</t>
        </is>
      </c>
      <c r="P45" t="inlineStr">
        <is>
          <t>cau</t>
        </is>
      </c>
      <c r="R45" t="inlineStr">
        <is>
          <t xml:space="preserve">RM </t>
        </is>
      </c>
      <c r="S45" t="n">
        <v>7</v>
      </c>
      <c r="T45" t="n">
        <v>7</v>
      </c>
      <c r="U45" t="inlineStr">
        <is>
          <t>2001-04-08</t>
        </is>
      </c>
      <c r="V45" t="inlineStr">
        <is>
          <t>2001-04-08</t>
        </is>
      </c>
      <c r="W45" t="inlineStr">
        <is>
          <t>1992-11-18</t>
        </is>
      </c>
      <c r="X45" t="inlineStr">
        <is>
          <t>1992-11-18</t>
        </is>
      </c>
      <c r="Y45" t="n">
        <v>4</v>
      </c>
      <c r="Z45" t="n">
        <v>4</v>
      </c>
      <c r="AA45" t="n">
        <v>4</v>
      </c>
      <c r="AB45" t="n">
        <v>1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HYPERLINK("https://creighton-primo.hosted.exlibrisgroup.com/primo-explore/search?tab=default_tab&amp;search_scope=EVERYTHING&amp;vid=01CRU&amp;lang=en_US&amp;offset=0&amp;query=any,contains,991000747949702656","Catalog Record")</f>
        <v/>
      </c>
      <c r="AT45">
        <f>HYPERLINK("http://www.worldcat.org/oclc/12887461","WorldCat Record")</f>
        <v/>
      </c>
      <c r="AU45" t="inlineStr">
        <is>
          <t>5732744:eng</t>
        </is>
      </c>
      <c r="AV45" t="inlineStr">
        <is>
          <t>12887461</t>
        </is>
      </c>
      <c r="AW45" t="inlineStr">
        <is>
          <t>991000747949702656</t>
        </is>
      </c>
      <c r="AX45" t="inlineStr">
        <is>
          <t>991000747949702656</t>
        </is>
      </c>
      <c r="AY45" t="inlineStr">
        <is>
          <t>2258323770002656</t>
        </is>
      </c>
      <c r="AZ45" t="inlineStr">
        <is>
          <t>BOOK</t>
        </is>
      </c>
      <c r="BC45" t="inlineStr">
        <is>
          <t>32285001406213</t>
        </is>
      </c>
      <c r="BD45" t="inlineStr">
        <is>
          <t>893496518</t>
        </is>
      </c>
    </row>
    <row r="46">
      <c r="A46" t="inlineStr">
        <is>
          <t>No</t>
        </is>
      </c>
      <c r="B46" t="inlineStr">
        <is>
          <t>RM315 .H633</t>
        </is>
      </c>
      <c r="C46" t="inlineStr">
        <is>
          <t>0                      RM 0315000H  633</t>
        </is>
      </c>
      <c r="D46" t="inlineStr">
        <is>
          <t>Clinical use of psychotherapeutic drugs, by Leo E. Hollister.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Hollister, Leo E., 1920-2000.</t>
        </is>
      </c>
      <c r="L46" t="inlineStr">
        <is>
          <t>Springfield, Ill., Thomas [1973]</t>
        </is>
      </c>
      <c r="M46" t="inlineStr">
        <is>
          <t>1973</t>
        </is>
      </c>
      <c r="O46" t="inlineStr">
        <is>
          <t>eng</t>
        </is>
      </c>
      <c r="P46" t="inlineStr">
        <is>
          <t>ilu</t>
        </is>
      </c>
      <c r="R46" t="inlineStr">
        <is>
          <t xml:space="preserve">RM </t>
        </is>
      </c>
      <c r="S46" t="n">
        <v>1</v>
      </c>
      <c r="T46" t="n">
        <v>1</v>
      </c>
      <c r="U46" t="inlineStr">
        <is>
          <t>2006-02-21</t>
        </is>
      </c>
      <c r="V46" t="inlineStr">
        <is>
          <t>2006-02-21</t>
        </is>
      </c>
      <c r="W46" t="inlineStr">
        <is>
          <t>1997-08-12</t>
        </is>
      </c>
      <c r="X46" t="inlineStr">
        <is>
          <t>1997-08-12</t>
        </is>
      </c>
      <c r="Y46" t="n">
        <v>234</v>
      </c>
      <c r="Z46" t="n">
        <v>203</v>
      </c>
      <c r="AA46" t="n">
        <v>224</v>
      </c>
      <c r="AB46" t="n">
        <v>2</v>
      </c>
      <c r="AC46" t="n">
        <v>2</v>
      </c>
      <c r="AD46" t="n">
        <v>6</v>
      </c>
      <c r="AE46" t="n">
        <v>7</v>
      </c>
      <c r="AF46" t="n">
        <v>2</v>
      </c>
      <c r="AG46" t="n">
        <v>3</v>
      </c>
      <c r="AH46" t="n">
        <v>0</v>
      </c>
      <c r="AI46" t="n">
        <v>1</v>
      </c>
      <c r="AJ46" t="n">
        <v>3</v>
      </c>
      <c r="AK46" t="n">
        <v>3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HYPERLINK("http://catalog.hathitrust.org/Record/001573067","HathiTrust Record")</f>
        <v/>
      </c>
      <c r="AS46">
        <f>HYPERLINK("https://creighton-primo.hosted.exlibrisgroup.com/primo-explore/search?tab=default_tab&amp;search_scope=EVERYTHING&amp;vid=01CRU&amp;lang=en_US&amp;offset=0&amp;query=any,contains,991003161229702656","Catalog Record")</f>
        <v/>
      </c>
      <c r="AT46">
        <f>HYPERLINK("http://www.worldcat.org/oclc/700391","WorldCat Record")</f>
        <v/>
      </c>
      <c r="AU46" t="inlineStr">
        <is>
          <t>1595104:eng</t>
        </is>
      </c>
      <c r="AV46" t="inlineStr">
        <is>
          <t>700391</t>
        </is>
      </c>
      <c r="AW46" t="inlineStr">
        <is>
          <t>991003161229702656</t>
        </is>
      </c>
      <c r="AX46" t="inlineStr">
        <is>
          <t>991003161229702656</t>
        </is>
      </c>
      <c r="AY46" t="inlineStr">
        <is>
          <t>2256727760002656</t>
        </is>
      </c>
      <c r="AZ46" t="inlineStr">
        <is>
          <t>BOOK</t>
        </is>
      </c>
      <c r="BB46" t="inlineStr">
        <is>
          <t>9780398027490</t>
        </is>
      </c>
      <c r="BC46" t="inlineStr">
        <is>
          <t>32285003094439</t>
        </is>
      </c>
      <c r="BD46" t="inlineStr">
        <is>
          <t>893874486</t>
        </is>
      </c>
    </row>
    <row r="47">
      <c r="A47" t="inlineStr">
        <is>
          <t>No</t>
        </is>
      </c>
      <c r="B47" t="inlineStr">
        <is>
          <t>RM315 .J75 1985</t>
        </is>
      </c>
      <c r="C47" t="inlineStr">
        <is>
          <t>0                      RM 0315000J  75          1985</t>
        </is>
      </c>
      <c r="D47" t="inlineStr">
        <is>
          <t>A primer of drug action / Robert M. Julien.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Julien, Robert M.</t>
        </is>
      </c>
      <c r="L47" t="inlineStr">
        <is>
          <t>New York : W.H. Freeman, c1985.</t>
        </is>
      </c>
      <c r="M47" t="inlineStr">
        <is>
          <t>1985</t>
        </is>
      </c>
      <c r="N47" t="inlineStr">
        <is>
          <t>4th ed.</t>
        </is>
      </c>
      <c r="O47" t="inlineStr">
        <is>
          <t>eng</t>
        </is>
      </c>
      <c r="P47" t="inlineStr">
        <is>
          <t>nyu</t>
        </is>
      </c>
      <c r="Q47" t="inlineStr">
        <is>
          <t>A Series of books in psychology</t>
        </is>
      </c>
      <c r="R47" t="inlineStr">
        <is>
          <t xml:space="preserve">RM </t>
        </is>
      </c>
      <c r="S47" t="n">
        <v>8</v>
      </c>
      <c r="T47" t="n">
        <v>8</v>
      </c>
      <c r="U47" t="inlineStr">
        <is>
          <t>2006-10-18</t>
        </is>
      </c>
      <c r="V47" t="inlineStr">
        <is>
          <t>2006-10-18</t>
        </is>
      </c>
      <c r="W47" t="inlineStr">
        <is>
          <t>1993-03-04</t>
        </is>
      </c>
      <c r="X47" t="inlineStr">
        <is>
          <t>1993-03-04</t>
        </is>
      </c>
      <c r="Y47" t="n">
        <v>291</v>
      </c>
      <c r="Z47" t="n">
        <v>256</v>
      </c>
      <c r="AA47" t="n">
        <v>823</v>
      </c>
      <c r="AB47" t="n">
        <v>2</v>
      </c>
      <c r="AC47" t="n">
        <v>10</v>
      </c>
      <c r="AD47" t="n">
        <v>3</v>
      </c>
      <c r="AE47" t="n">
        <v>24</v>
      </c>
      <c r="AF47" t="n">
        <v>1</v>
      </c>
      <c r="AG47" t="n">
        <v>4</v>
      </c>
      <c r="AH47" t="n">
        <v>0</v>
      </c>
      <c r="AI47" t="n">
        <v>5</v>
      </c>
      <c r="AJ47" t="n">
        <v>3</v>
      </c>
      <c r="AK47" t="n">
        <v>11</v>
      </c>
      <c r="AL47" t="n">
        <v>0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HYPERLINK("https://creighton-primo.hosted.exlibrisgroup.com/primo-explore/search?tab=default_tab&amp;search_scope=EVERYTHING&amp;vid=01CRU&amp;lang=en_US&amp;offset=0&amp;query=any,contains,991000539689702656","Catalog Record")</f>
        <v/>
      </c>
      <c r="AT47">
        <f>HYPERLINK("http://www.worldcat.org/oclc/11469882","WorldCat Record")</f>
        <v/>
      </c>
      <c r="AU47" t="inlineStr">
        <is>
          <t>2705640:eng</t>
        </is>
      </c>
      <c r="AV47" t="inlineStr">
        <is>
          <t>11469882</t>
        </is>
      </c>
      <c r="AW47" t="inlineStr">
        <is>
          <t>991000539689702656</t>
        </is>
      </c>
      <c r="AX47" t="inlineStr">
        <is>
          <t>991000539689702656</t>
        </is>
      </c>
      <c r="AY47" t="inlineStr">
        <is>
          <t>2266345720002656</t>
        </is>
      </c>
      <c r="AZ47" t="inlineStr">
        <is>
          <t>BOOK</t>
        </is>
      </c>
      <c r="BB47" t="inlineStr">
        <is>
          <t>9780716717133</t>
        </is>
      </c>
      <c r="BC47" t="inlineStr">
        <is>
          <t>32285001529949</t>
        </is>
      </c>
      <c r="BD47" t="inlineStr">
        <is>
          <t>893315035</t>
        </is>
      </c>
    </row>
    <row r="48">
      <c r="A48" t="inlineStr">
        <is>
          <t>No</t>
        </is>
      </c>
      <c r="B48" t="inlineStr">
        <is>
          <t>RM315 .L36 1982</t>
        </is>
      </c>
      <c r="C48" t="inlineStr">
        <is>
          <t>0                      RM 0315000L  36          1982</t>
        </is>
      </c>
      <c r="D48" t="inlineStr">
        <is>
          <t>Drugs and behavior / Fred Leavitt.</t>
        </is>
      </c>
      <c r="F48" t="inlineStr">
        <is>
          <t>No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Leavitt, Fred.</t>
        </is>
      </c>
      <c r="L48" t="inlineStr">
        <is>
          <t>New York : Wiley, c1982.</t>
        </is>
      </c>
      <c r="M48" t="inlineStr">
        <is>
          <t>1982</t>
        </is>
      </c>
      <c r="N48" t="inlineStr">
        <is>
          <t>2nd ed.</t>
        </is>
      </c>
      <c r="O48" t="inlineStr">
        <is>
          <t>eng</t>
        </is>
      </c>
      <c r="P48" t="inlineStr">
        <is>
          <t>nyu</t>
        </is>
      </c>
      <c r="Q48" t="inlineStr">
        <is>
          <t>Wiley series on personality processes</t>
        </is>
      </c>
      <c r="R48" t="inlineStr">
        <is>
          <t xml:space="preserve">RM </t>
        </is>
      </c>
      <c r="S48" t="n">
        <v>16</v>
      </c>
      <c r="T48" t="n">
        <v>16</v>
      </c>
      <c r="U48" t="inlineStr">
        <is>
          <t>2004-10-07</t>
        </is>
      </c>
      <c r="V48" t="inlineStr">
        <is>
          <t>2004-10-07</t>
        </is>
      </c>
      <c r="W48" t="inlineStr">
        <is>
          <t>1995-06-30</t>
        </is>
      </c>
      <c r="X48" t="inlineStr">
        <is>
          <t>1995-06-30</t>
        </is>
      </c>
      <c r="Y48" t="n">
        <v>372</v>
      </c>
      <c r="Z48" t="n">
        <v>294</v>
      </c>
      <c r="AA48" t="n">
        <v>578</v>
      </c>
      <c r="AB48" t="n">
        <v>6</v>
      </c>
      <c r="AC48" t="n">
        <v>9</v>
      </c>
      <c r="AD48" t="n">
        <v>18</v>
      </c>
      <c r="AE48" t="n">
        <v>32</v>
      </c>
      <c r="AF48" t="n">
        <v>5</v>
      </c>
      <c r="AG48" t="n">
        <v>9</v>
      </c>
      <c r="AH48" t="n">
        <v>4</v>
      </c>
      <c r="AI48" t="n">
        <v>7</v>
      </c>
      <c r="AJ48" t="n">
        <v>10</v>
      </c>
      <c r="AK48" t="n">
        <v>16</v>
      </c>
      <c r="AL48" t="n">
        <v>4</v>
      </c>
      <c r="AM48" t="n">
        <v>7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HYPERLINK("http://catalog.hathitrust.org/Record/000109633","HathiTrust Record")</f>
        <v/>
      </c>
      <c r="AS48">
        <f>HYPERLINK("https://creighton-primo.hosted.exlibrisgroup.com/primo-explore/search?tab=default_tab&amp;search_scope=EVERYTHING&amp;vid=01CRU&amp;lang=en_US&amp;offset=0&amp;query=any,contains,991005178079702656","Catalog Record")</f>
        <v/>
      </c>
      <c r="AT48">
        <f>HYPERLINK("http://www.worldcat.org/oclc/7925458","WorldCat Record")</f>
        <v/>
      </c>
      <c r="AU48" t="inlineStr">
        <is>
          <t>1925966:eng</t>
        </is>
      </c>
      <c r="AV48" t="inlineStr">
        <is>
          <t>7925458</t>
        </is>
      </c>
      <c r="AW48" t="inlineStr">
        <is>
          <t>991005178079702656</t>
        </is>
      </c>
      <c r="AX48" t="inlineStr">
        <is>
          <t>991005178079702656</t>
        </is>
      </c>
      <c r="AY48" t="inlineStr">
        <is>
          <t>2268864940002656</t>
        </is>
      </c>
      <c r="AZ48" t="inlineStr">
        <is>
          <t>BOOK</t>
        </is>
      </c>
      <c r="BB48" t="inlineStr">
        <is>
          <t>9780471064565</t>
        </is>
      </c>
      <c r="BC48" t="inlineStr">
        <is>
          <t>32285002021649</t>
        </is>
      </c>
      <c r="BD48" t="inlineStr">
        <is>
          <t>893353747</t>
        </is>
      </c>
    </row>
    <row r="49">
      <c r="A49" t="inlineStr">
        <is>
          <t>No</t>
        </is>
      </c>
      <c r="B49" t="inlineStr">
        <is>
          <t>RM315 .L42 1992</t>
        </is>
      </c>
      <c r="C49" t="inlineStr">
        <is>
          <t>0                      RM 0315000L  42          1992</t>
        </is>
      </c>
      <c r="D49" t="inlineStr">
        <is>
          <t>Fundamentals of psychopharmacology / Brian E. Leonard.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Leonard, B. E.</t>
        </is>
      </c>
      <c r="L49" t="inlineStr">
        <is>
          <t>Chichester ; New York : J. Wiley, c1992.</t>
        </is>
      </c>
      <c r="M49" t="inlineStr">
        <is>
          <t>1992</t>
        </is>
      </c>
      <c r="O49" t="inlineStr">
        <is>
          <t>eng</t>
        </is>
      </c>
      <c r="P49" t="inlineStr">
        <is>
          <t>enk</t>
        </is>
      </c>
      <c r="R49" t="inlineStr">
        <is>
          <t xml:space="preserve">RM </t>
        </is>
      </c>
      <c r="S49" t="n">
        <v>26</v>
      </c>
      <c r="T49" t="n">
        <v>26</v>
      </c>
      <c r="U49" t="inlineStr">
        <is>
          <t>2009-09-23</t>
        </is>
      </c>
      <c r="V49" t="inlineStr">
        <is>
          <t>2009-09-23</t>
        </is>
      </c>
      <c r="W49" t="inlineStr">
        <is>
          <t>1993-12-10</t>
        </is>
      </c>
      <c r="X49" t="inlineStr">
        <is>
          <t>1993-12-10</t>
        </is>
      </c>
      <c r="Y49" t="n">
        <v>254</v>
      </c>
      <c r="Z49" t="n">
        <v>169</v>
      </c>
      <c r="AA49" t="n">
        <v>799</v>
      </c>
      <c r="AB49" t="n">
        <v>1</v>
      </c>
      <c r="AC49" t="n">
        <v>27</v>
      </c>
      <c r="AD49" t="n">
        <v>13</v>
      </c>
      <c r="AE49" t="n">
        <v>34</v>
      </c>
      <c r="AF49" t="n">
        <v>4</v>
      </c>
      <c r="AG49" t="n">
        <v>10</v>
      </c>
      <c r="AH49" t="n">
        <v>2</v>
      </c>
      <c r="AI49" t="n">
        <v>4</v>
      </c>
      <c r="AJ49" t="n">
        <v>8</v>
      </c>
      <c r="AK49" t="n">
        <v>13</v>
      </c>
      <c r="AL49" t="n">
        <v>0</v>
      </c>
      <c r="AM49" t="n">
        <v>12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HYPERLINK("http://catalog.hathitrust.org/Record/002781884","HathiTrust Record")</f>
        <v/>
      </c>
      <c r="AS49">
        <f>HYPERLINK("https://creighton-primo.hosted.exlibrisgroup.com/primo-explore/search?tab=default_tab&amp;search_scope=EVERYTHING&amp;vid=01CRU&amp;lang=en_US&amp;offset=0&amp;query=any,contains,991001962969702656","Catalog Record")</f>
        <v/>
      </c>
      <c r="AT49">
        <f>HYPERLINK("http://www.worldcat.org/oclc/24871405","WorldCat Record")</f>
        <v/>
      </c>
      <c r="AU49" t="inlineStr">
        <is>
          <t>550777:eng</t>
        </is>
      </c>
      <c r="AV49" t="inlineStr">
        <is>
          <t>24871405</t>
        </is>
      </c>
      <c r="AW49" t="inlineStr">
        <is>
          <t>991001962969702656</t>
        </is>
      </c>
      <c r="AX49" t="inlineStr">
        <is>
          <t>991001962969702656</t>
        </is>
      </c>
      <c r="AY49" t="inlineStr">
        <is>
          <t>2262723760002656</t>
        </is>
      </c>
      <c r="AZ49" t="inlineStr">
        <is>
          <t>BOOK</t>
        </is>
      </c>
      <c r="BB49" t="inlineStr">
        <is>
          <t>9780471933885</t>
        </is>
      </c>
      <c r="BC49" t="inlineStr">
        <is>
          <t>32285001815751</t>
        </is>
      </c>
      <c r="BD49" t="inlineStr">
        <is>
          <t>893244592</t>
        </is>
      </c>
    </row>
    <row r="50">
      <c r="A50" t="inlineStr">
        <is>
          <t>No</t>
        </is>
      </c>
      <c r="B50" t="inlineStr">
        <is>
          <t>RM315 .L46</t>
        </is>
      </c>
      <c r="C50" t="inlineStr">
        <is>
          <t>0                      RM 0315000L  46</t>
        </is>
      </c>
      <c r="D50" t="inlineStr">
        <is>
          <t>Psychopharmacology : a biological approach / Robert A. Levitt.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Levitt, Robert A.</t>
        </is>
      </c>
      <c r="L50" t="inlineStr">
        <is>
          <t>Washington : Hemisphere Pub. Corp. ; New York : distributed by Halsted Press, [1975]</t>
        </is>
      </c>
      <c r="M50" t="inlineStr">
        <is>
          <t>1975</t>
        </is>
      </c>
      <c r="O50" t="inlineStr">
        <is>
          <t>eng</t>
        </is>
      </c>
      <c r="P50" t="inlineStr">
        <is>
          <t>dcu</t>
        </is>
      </c>
      <c r="Q50" t="inlineStr">
        <is>
          <t>Series in experimental psychology</t>
        </is>
      </c>
      <c r="R50" t="inlineStr">
        <is>
          <t xml:space="preserve">RM </t>
        </is>
      </c>
      <c r="S50" t="n">
        <v>2</v>
      </c>
      <c r="T50" t="n">
        <v>2</v>
      </c>
      <c r="U50" t="inlineStr">
        <is>
          <t>2004-10-07</t>
        </is>
      </c>
      <c r="V50" t="inlineStr">
        <is>
          <t>2004-10-07</t>
        </is>
      </c>
      <c r="W50" t="inlineStr">
        <is>
          <t>1997-08-12</t>
        </is>
      </c>
      <c r="X50" t="inlineStr">
        <is>
          <t>1997-08-12</t>
        </is>
      </c>
      <c r="Y50" t="n">
        <v>300</v>
      </c>
      <c r="Z50" t="n">
        <v>235</v>
      </c>
      <c r="AA50" t="n">
        <v>242</v>
      </c>
      <c r="AB50" t="n">
        <v>4</v>
      </c>
      <c r="AC50" t="n">
        <v>4</v>
      </c>
      <c r="AD50" t="n">
        <v>9</v>
      </c>
      <c r="AE50" t="n">
        <v>9</v>
      </c>
      <c r="AF50" t="n">
        <v>2</v>
      </c>
      <c r="AG50" t="n">
        <v>2</v>
      </c>
      <c r="AH50" t="n">
        <v>2</v>
      </c>
      <c r="AI50" t="n">
        <v>2</v>
      </c>
      <c r="AJ50" t="n">
        <v>4</v>
      </c>
      <c r="AK50" t="n">
        <v>4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HYPERLINK("http://catalog.hathitrust.org/Record/000032488","HathiTrust Record")</f>
        <v/>
      </c>
      <c r="AS50">
        <f>HYPERLINK("https://creighton-primo.hosted.exlibrisgroup.com/primo-explore/search?tab=default_tab&amp;search_scope=EVERYTHING&amp;vid=01CRU&amp;lang=en_US&amp;offset=0&amp;query=any,contains,991003537899702656","Catalog Record")</f>
        <v/>
      </c>
      <c r="AT50">
        <f>HYPERLINK("http://www.worldcat.org/oclc/1103154","WorldCat Record")</f>
        <v/>
      </c>
      <c r="AU50" t="inlineStr">
        <is>
          <t>375195840:eng</t>
        </is>
      </c>
      <c r="AV50" t="inlineStr">
        <is>
          <t>1103154</t>
        </is>
      </c>
      <c r="AW50" t="inlineStr">
        <is>
          <t>991003537899702656</t>
        </is>
      </c>
      <c r="AX50" t="inlineStr">
        <is>
          <t>991003537899702656</t>
        </is>
      </c>
      <c r="AY50" t="inlineStr">
        <is>
          <t>2267394830002656</t>
        </is>
      </c>
      <c r="AZ50" t="inlineStr">
        <is>
          <t>BOOK</t>
        </is>
      </c>
      <c r="BB50" t="inlineStr">
        <is>
          <t>9780470531495</t>
        </is>
      </c>
      <c r="BC50" t="inlineStr">
        <is>
          <t>32285003094447</t>
        </is>
      </c>
      <c r="BD50" t="inlineStr">
        <is>
          <t>893598679</t>
        </is>
      </c>
    </row>
    <row r="51">
      <c r="A51" t="inlineStr">
        <is>
          <t>No</t>
        </is>
      </c>
      <c r="B51" t="inlineStr">
        <is>
          <t>RM315 .P7534</t>
        </is>
      </c>
      <c r="C51" t="inlineStr">
        <is>
          <t>0                      RM 0315000P  7534</t>
        </is>
      </c>
      <c r="D51" t="inlineStr">
        <is>
          <t>Psychopharmacology : from theory to practice / editors, Jack D. Barchas ... [et al.].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New York : Oxford University Press, 1977.</t>
        </is>
      </c>
      <c r="M51" t="inlineStr">
        <is>
          <t>1977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RM </t>
        </is>
      </c>
      <c r="S51" t="n">
        <v>5</v>
      </c>
      <c r="T51" t="n">
        <v>5</v>
      </c>
      <c r="U51" t="inlineStr">
        <is>
          <t>1999-03-15</t>
        </is>
      </c>
      <c r="V51" t="inlineStr">
        <is>
          <t>1999-03-15</t>
        </is>
      </c>
      <c r="W51" t="inlineStr">
        <is>
          <t>1995-04-06</t>
        </is>
      </c>
      <c r="X51" t="inlineStr">
        <is>
          <t>1995-04-06</t>
        </is>
      </c>
      <c r="Y51" t="n">
        <v>384</v>
      </c>
      <c r="Z51" t="n">
        <v>298</v>
      </c>
      <c r="AA51" t="n">
        <v>305</v>
      </c>
      <c r="AB51" t="n">
        <v>2</v>
      </c>
      <c r="AC51" t="n">
        <v>2</v>
      </c>
      <c r="AD51" t="n">
        <v>14</v>
      </c>
      <c r="AE51" t="n">
        <v>14</v>
      </c>
      <c r="AF51" t="n">
        <v>6</v>
      </c>
      <c r="AG51" t="n">
        <v>6</v>
      </c>
      <c r="AH51" t="n">
        <v>3</v>
      </c>
      <c r="AI51" t="n">
        <v>3</v>
      </c>
      <c r="AJ51" t="n">
        <v>9</v>
      </c>
      <c r="AK51" t="n">
        <v>9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HYPERLINK("http://catalog.hathitrust.org/Record/000251129","HathiTrust Record")</f>
        <v/>
      </c>
      <c r="AS51">
        <f>HYPERLINK("https://creighton-primo.hosted.exlibrisgroup.com/primo-explore/search?tab=default_tab&amp;search_scope=EVERYTHING&amp;vid=01CRU&amp;lang=en_US&amp;offset=0&amp;query=any,contains,991004313089702656","Catalog Record")</f>
        <v/>
      </c>
      <c r="AT51">
        <f>HYPERLINK("http://www.worldcat.org/oclc/3002015","WorldCat Record")</f>
        <v/>
      </c>
      <c r="AU51" t="inlineStr">
        <is>
          <t>864034454:eng</t>
        </is>
      </c>
      <c r="AV51" t="inlineStr">
        <is>
          <t>3002015</t>
        </is>
      </c>
      <c r="AW51" t="inlineStr">
        <is>
          <t>991004313089702656</t>
        </is>
      </c>
      <c r="AX51" t="inlineStr">
        <is>
          <t>991004313089702656</t>
        </is>
      </c>
      <c r="AY51" t="inlineStr">
        <is>
          <t>2272247250002656</t>
        </is>
      </c>
      <c r="AZ51" t="inlineStr">
        <is>
          <t>BOOK</t>
        </is>
      </c>
      <c r="BB51" t="inlineStr">
        <is>
          <t>9780195022148</t>
        </is>
      </c>
      <c r="BC51" t="inlineStr">
        <is>
          <t>32285002025822</t>
        </is>
      </c>
      <c r="BD51" t="inlineStr">
        <is>
          <t>893722370</t>
        </is>
      </c>
    </row>
    <row r="52">
      <c r="A52" t="inlineStr">
        <is>
          <t>No</t>
        </is>
      </c>
      <c r="B52" t="inlineStr">
        <is>
          <t>RM315 .P762 1995</t>
        </is>
      </c>
      <c r="C52" t="inlineStr">
        <is>
          <t>0                      RM 0315000P  762         1995</t>
        </is>
      </c>
      <c r="D52" t="inlineStr">
        <is>
          <t>Psychopharmacology : the fourth generation of progress / editors-in-chief, Floyd E. Bloom, David Kupfer ; associate editors, Benjamin S. Bunney ... [et al.].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New York : Raven Press, c1995.</t>
        </is>
      </c>
      <c r="M52" t="inlineStr">
        <is>
          <t>1995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RM </t>
        </is>
      </c>
      <c r="S52" t="n">
        <v>11</v>
      </c>
      <c r="T52" t="n">
        <v>11</v>
      </c>
      <c r="U52" t="inlineStr">
        <is>
          <t>1999-01-13</t>
        </is>
      </c>
      <c r="V52" t="inlineStr">
        <is>
          <t>1999-01-13</t>
        </is>
      </c>
      <c r="W52" t="inlineStr">
        <is>
          <t>1996-12-12</t>
        </is>
      </c>
      <c r="X52" t="inlineStr">
        <is>
          <t>1996-12-12</t>
        </is>
      </c>
      <c r="Y52" t="n">
        <v>295</v>
      </c>
      <c r="Z52" t="n">
        <v>209</v>
      </c>
      <c r="AA52" t="n">
        <v>209</v>
      </c>
      <c r="AB52" t="n">
        <v>2</v>
      </c>
      <c r="AC52" t="n">
        <v>2</v>
      </c>
      <c r="AD52" t="n">
        <v>8</v>
      </c>
      <c r="AE52" t="n">
        <v>8</v>
      </c>
      <c r="AF52" t="n">
        <v>1</v>
      </c>
      <c r="AG52" t="n">
        <v>1</v>
      </c>
      <c r="AH52" t="n">
        <v>4</v>
      </c>
      <c r="AI52" t="n">
        <v>4</v>
      </c>
      <c r="AJ52" t="n">
        <v>6</v>
      </c>
      <c r="AK52" t="n">
        <v>6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HYPERLINK("https://creighton-primo.hosted.exlibrisgroup.com/primo-explore/search?tab=default_tab&amp;search_scope=EVERYTHING&amp;vid=01CRU&amp;lang=en_US&amp;offset=0&amp;query=any,contains,991002313829702656","Catalog Record")</f>
        <v/>
      </c>
      <c r="AT52">
        <f>HYPERLINK("http://www.worldcat.org/oclc/30031477","WorldCat Record")</f>
        <v/>
      </c>
      <c r="AU52" t="inlineStr">
        <is>
          <t>947187603:eng</t>
        </is>
      </c>
      <c r="AV52" t="inlineStr">
        <is>
          <t>30031477</t>
        </is>
      </c>
      <c r="AW52" t="inlineStr">
        <is>
          <t>991002313829702656</t>
        </is>
      </c>
      <c r="AX52" t="inlineStr">
        <is>
          <t>991002313829702656</t>
        </is>
      </c>
      <c r="AY52" t="inlineStr">
        <is>
          <t>2270659700002656</t>
        </is>
      </c>
      <c r="AZ52" t="inlineStr">
        <is>
          <t>BOOK</t>
        </is>
      </c>
      <c r="BB52" t="inlineStr">
        <is>
          <t>9780781701662</t>
        </is>
      </c>
      <c r="BC52" t="inlineStr">
        <is>
          <t>32285002393238</t>
        </is>
      </c>
      <c r="BD52" t="inlineStr">
        <is>
          <t>893335158</t>
        </is>
      </c>
    </row>
    <row r="53">
      <c r="A53" t="inlineStr">
        <is>
          <t>No</t>
        </is>
      </c>
      <c r="B53" t="inlineStr">
        <is>
          <t>RM315 .U4</t>
        </is>
      </c>
      <c r="C53" t="inlineStr">
        <is>
          <t>0                      RM 0315000U  4</t>
        </is>
      </c>
      <c r="D53" t="inlineStr">
        <is>
          <t>Drugs and behavior / edited by Leonard Uhr [and] James G. Miller.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Uhr, Leonard Merrick, 1927- editor.</t>
        </is>
      </c>
      <c r="L53" t="inlineStr">
        <is>
          <t>New York : Wiley, [1960]</t>
        </is>
      </c>
      <c r="M53" t="inlineStr">
        <is>
          <t>1960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RM </t>
        </is>
      </c>
      <c r="S53" t="n">
        <v>5</v>
      </c>
      <c r="T53" t="n">
        <v>5</v>
      </c>
      <c r="U53" t="inlineStr">
        <is>
          <t>1998-10-28</t>
        </is>
      </c>
      <c r="V53" t="inlineStr">
        <is>
          <t>1998-10-28</t>
        </is>
      </c>
      <c r="W53" t="inlineStr">
        <is>
          <t>1992-04-08</t>
        </is>
      </c>
      <c r="X53" t="inlineStr">
        <is>
          <t>1992-04-08</t>
        </is>
      </c>
      <c r="Y53" t="n">
        <v>593</v>
      </c>
      <c r="Z53" t="n">
        <v>499</v>
      </c>
      <c r="AA53" t="n">
        <v>513</v>
      </c>
      <c r="AB53" t="n">
        <v>5</v>
      </c>
      <c r="AC53" t="n">
        <v>5</v>
      </c>
      <c r="AD53" t="n">
        <v>20</v>
      </c>
      <c r="AE53" t="n">
        <v>20</v>
      </c>
      <c r="AF53" t="n">
        <v>6</v>
      </c>
      <c r="AG53" t="n">
        <v>6</v>
      </c>
      <c r="AH53" t="n">
        <v>6</v>
      </c>
      <c r="AI53" t="n">
        <v>6</v>
      </c>
      <c r="AJ53" t="n">
        <v>8</v>
      </c>
      <c r="AK53" t="n">
        <v>8</v>
      </c>
      <c r="AL53" t="n">
        <v>4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R53">
        <f>HYPERLINK("http://catalog.hathitrust.org/Record/001573097","HathiTrust Record")</f>
        <v/>
      </c>
      <c r="AS53">
        <f>HYPERLINK("https://creighton-primo.hosted.exlibrisgroup.com/primo-explore/search?tab=default_tab&amp;search_scope=EVERYTHING&amp;vid=01CRU&amp;lang=en_US&amp;offset=0&amp;query=any,contains,991003077819702656","Catalog Record")</f>
        <v/>
      </c>
      <c r="AT53">
        <f>HYPERLINK("http://www.worldcat.org/oclc/630963","WorldCat Record")</f>
        <v/>
      </c>
      <c r="AU53" t="inlineStr">
        <is>
          <t>346552590:eng</t>
        </is>
      </c>
      <c r="AV53" t="inlineStr">
        <is>
          <t>630963</t>
        </is>
      </c>
      <c r="AW53" t="inlineStr">
        <is>
          <t>991003077819702656</t>
        </is>
      </c>
      <c r="AX53" t="inlineStr">
        <is>
          <t>991003077819702656</t>
        </is>
      </c>
      <c r="AY53" t="inlineStr">
        <is>
          <t>2262216840002656</t>
        </is>
      </c>
      <c r="AZ53" t="inlineStr">
        <is>
          <t>BOOK</t>
        </is>
      </c>
      <c r="BC53" t="inlineStr">
        <is>
          <t>32285001056034</t>
        </is>
      </c>
      <c r="BD53" t="inlineStr">
        <is>
          <t>893623128</t>
        </is>
      </c>
    </row>
    <row r="54">
      <c r="A54" t="inlineStr">
        <is>
          <t>No</t>
        </is>
      </c>
      <c r="B54" t="inlineStr">
        <is>
          <t>RM315 .Y83 1991</t>
        </is>
      </c>
      <c r="C54" t="inlineStr">
        <is>
          <t>0                      RM 0315000Y  83          1991</t>
        </is>
      </c>
      <c r="D54" t="inlineStr">
        <is>
          <t>What you need to know about psychiatric drugs / Stuart Yudofsky, Robert E. Hales, Tom Ferguson.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Yudofsky, Stuart C.</t>
        </is>
      </c>
      <c r="L54" t="inlineStr">
        <is>
          <t>New York : Grove Weidenfeld, 1991.</t>
        </is>
      </c>
      <c r="M54" t="inlineStr">
        <is>
          <t>1991</t>
        </is>
      </c>
      <c r="N54" t="inlineStr">
        <is>
          <t>1st ed.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RM </t>
        </is>
      </c>
      <c r="S54" t="n">
        <v>5</v>
      </c>
      <c r="T54" t="n">
        <v>5</v>
      </c>
      <c r="U54" t="inlineStr">
        <is>
          <t>1997-03-03</t>
        </is>
      </c>
      <c r="V54" t="inlineStr">
        <is>
          <t>1997-03-03</t>
        </is>
      </c>
      <c r="W54" t="inlineStr">
        <is>
          <t>1992-01-21</t>
        </is>
      </c>
      <c r="X54" t="inlineStr">
        <is>
          <t>1992-01-21</t>
        </is>
      </c>
      <c r="Y54" t="n">
        <v>457</v>
      </c>
      <c r="Z54" t="n">
        <v>423</v>
      </c>
      <c r="AA54" t="n">
        <v>550</v>
      </c>
      <c r="AB54" t="n">
        <v>3</v>
      </c>
      <c r="AC54" t="n">
        <v>3</v>
      </c>
      <c r="AD54" t="n">
        <v>7</v>
      </c>
      <c r="AE54" t="n">
        <v>12</v>
      </c>
      <c r="AF54" t="n">
        <v>1</v>
      </c>
      <c r="AG54" t="n">
        <v>4</v>
      </c>
      <c r="AH54" t="n">
        <v>0</v>
      </c>
      <c r="AI54" t="n">
        <v>1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1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HYPERLINK("http://catalog.hathitrust.org/Record/002733769","HathiTrust Record")</f>
        <v/>
      </c>
      <c r="AS54">
        <f>HYPERLINK("https://creighton-primo.hosted.exlibrisgroup.com/primo-explore/search?tab=default_tab&amp;search_scope=EVERYTHING&amp;vid=01CRU&amp;lang=en_US&amp;offset=0&amp;query=any,contains,991005328499702656","Catalog Record")</f>
        <v/>
      </c>
      <c r="AT54">
        <f>HYPERLINK("http://www.worldcat.org/oclc/22117538","WorldCat Record")</f>
        <v/>
      </c>
      <c r="AU54" t="inlineStr">
        <is>
          <t>23211681:eng</t>
        </is>
      </c>
      <c r="AV54" t="inlineStr">
        <is>
          <t>22117538</t>
        </is>
      </c>
      <c r="AW54" t="inlineStr">
        <is>
          <t>991005328499702656</t>
        </is>
      </c>
      <c r="AX54" t="inlineStr">
        <is>
          <t>991005328499702656</t>
        </is>
      </c>
      <c r="AY54" t="inlineStr">
        <is>
          <t>2260126750002656</t>
        </is>
      </c>
      <c r="AZ54" t="inlineStr">
        <is>
          <t>BOOK</t>
        </is>
      </c>
      <c r="BB54" t="inlineStr">
        <is>
          <t>9780802112811</t>
        </is>
      </c>
      <c r="BC54" t="inlineStr">
        <is>
          <t>32285000865518</t>
        </is>
      </c>
      <c r="BD54" t="inlineStr">
        <is>
          <t>893437527</t>
        </is>
      </c>
    </row>
    <row r="55">
      <c r="A55" t="inlineStr">
        <is>
          <t>No</t>
        </is>
      </c>
      <c r="B55" t="inlineStr">
        <is>
          <t>RM319 .K6</t>
        </is>
      </c>
      <c r="C55" t="inlineStr">
        <is>
          <t>0                      RM 0319000K  6</t>
        </is>
      </c>
      <c r="D55" t="inlineStr">
        <is>
          <t>Comprehensive approach to therapy of pain; by A. Lewis Kolodyny and Patrick T. McLoughlin. With a foreword by Hyman S. Rubinstein.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Kolodny, A. Lewis.</t>
        </is>
      </c>
      <c r="L55" t="inlineStr">
        <is>
          <t>Springfield, Ill., C.C. Thomas [1966]</t>
        </is>
      </c>
      <c r="M55" t="inlineStr">
        <is>
          <t>1966</t>
        </is>
      </c>
      <c r="O55" t="inlineStr">
        <is>
          <t>eng</t>
        </is>
      </c>
      <c r="P55" t="inlineStr">
        <is>
          <t>ilu</t>
        </is>
      </c>
      <c r="R55" t="inlineStr">
        <is>
          <t xml:space="preserve">RM </t>
        </is>
      </c>
      <c r="S55" t="n">
        <v>1</v>
      </c>
      <c r="T55" t="n">
        <v>1</v>
      </c>
      <c r="U55" t="inlineStr">
        <is>
          <t>2001-09-18</t>
        </is>
      </c>
      <c r="V55" t="inlineStr">
        <is>
          <t>2001-09-18</t>
        </is>
      </c>
      <c r="W55" t="inlineStr">
        <is>
          <t>1997-08-12</t>
        </is>
      </c>
      <c r="X55" t="inlineStr">
        <is>
          <t>1997-08-12</t>
        </is>
      </c>
      <c r="Y55" t="n">
        <v>106</v>
      </c>
      <c r="Z55" t="n">
        <v>90</v>
      </c>
      <c r="AA55" t="n">
        <v>94</v>
      </c>
      <c r="AB55" t="n">
        <v>1</v>
      </c>
      <c r="AC55" t="n">
        <v>1</v>
      </c>
      <c r="AD55" t="n">
        <v>2</v>
      </c>
      <c r="AE55" t="n">
        <v>2</v>
      </c>
      <c r="AF55" t="n">
        <v>1</v>
      </c>
      <c r="AG55" t="n">
        <v>1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HYPERLINK("http://catalog.hathitrust.org/Record/001573103","HathiTrust Record")</f>
        <v/>
      </c>
      <c r="AS55">
        <f>HYPERLINK("https://creighton-primo.hosted.exlibrisgroup.com/primo-explore/search?tab=default_tab&amp;search_scope=EVERYTHING&amp;vid=01CRU&amp;lang=en_US&amp;offset=0&amp;query=any,contains,991003580429702656","Catalog Record")</f>
        <v/>
      </c>
      <c r="AT55">
        <f>HYPERLINK("http://www.worldcat.org/oclc/1161444","WorldCat Record")</f>
        <v/>
      </c>
      <c r="AU55" t="inlineStr">
        <is>
          <t>2095962:eng</t>
        </is>
      </c>
      <c r="AV55" t="inlineStr">
        <is>
          <t>1161444</t>
        </is>
      </c>
      <c r="AW55" t="inlineStr">
        <is>
          <t>991003580429702656</t>
        </is>
      </c>
      <c r="AX55" t="inlineStr">
        <is>
          <t>991003580429702656</t>
        </is>
      </c>
      <c r="AY55" t="inlineStr">
        <is>
          <t>2271324220002656</t>
        </is>
      </c>
      <c r="AZ55" t="inlineStr">
        <is>
          <t>BOOK</t>
        </is>
      </c>
      <c r="BC55" t="inlineStr">
        <is>
          <t>32285003094454</t>
        </is>
      </c>
      <c r="BD55" t="inlineStr">
        <is>
          <t>893348838</t>
        </is>
      </c>
    </row>
    <row r="56">
      <c r="A56" t="inlineStr">
        <is>
          <t>No</t>
        </is>
      </c>
      <c r="B56" t="inlineStr">
        <is>
          <t>RM331 .F57</t>
        </is>
      </c>
      <c r="C56" t="inlineStr">
        <is>
          <t>0                      RM 0331000F  57</t>
        </is>
      </c>
      <c r="D56" t="inlineStr">
        <is>
          <t>Placebo therapy [by] Jefferson M. Fish.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Fish, Jefferson M.</t>
        </is>
      </c>
      <c r="L56" t="inlineStr">
        <is>
          <t>San Francisco, Jossey-Bass Publishers, 1973.</t>
        </is>
      </c>
      <c r="M56" t="inlineStr">
        <is>
          <t>1973</t>
        </is>
      </c>
      <c r="N56" t="inlineStr">
        <is>
          <t>[1st ed.]</t>
        </is>
      </c>
      <c r="O56" t="inlineStr">
        <is>
          <t>eng</t>
        </is>
      </c>
      <c r="P56" t="inlineStr">
        <is>
          <t>cau</t>
        </is>
      </c>
      <c r="Q56" t="inlineStr">
        <is>
          <t>The Jossey-Bass behavioral science series</t>
        </is>
      </c>
      <c r="R56" t="inlineStr">
        <is>
          <t xml:space="preserve">RM </t>
        </is>
      </c>
      <c r="S56" t="n">
        <v>1</v>
      </c>
      <c r="T56" t="n">
        <v>1</v>
      </c>
      <c r="U56" t="inlineStr">
        <is>
          <t>1999-02-22</t>
        </is>
      </c>
      <c r="V56" t="inlineStr">
        <is>
          <t>1999-02-22</t>
        </is>
      </c>
      <c r="W56" t="inlineStr">
        <is>
          <t>1997-08-13</t>
        </is>
      </c>
      <c r="X56" t="inlineStr">
        <is>
          <t>1997-08-13</t>
        </is>
      </c>
      <c r="Y56" t="n">
        <v>404</v>
      </c>
      <c r="Z56" t="n">
        <v>326</v>
      </c>
      <c r="AA56" t="n">
        <v>335</v>
      </c>
      <c r="AB56" t="n">
        <v>4</v>
      </c>
      <c r="AC56" t="n">
        <v>4</v>
      </c>
      <c r="AD56" t="n">
        <v>19</v>
      </c>
      <c r="AE56" t="n">
        <v>19</v>
      </c>
      <c r="AF56" t="n">
        <v>4</v>
      </c>
      <c r="AG56" t="n">
        <v>4</v>
      </c>
      <c r="AH56" t="n">
        <v>5</v>
      </c>
      <c r="AI56" t="n">
        <v>5</v>
      </c>
      <c r="AJ56" t="n">
        <v>10</v>
      </c>
      <c r="AK56" t="n">
        <v>10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HYPERLINK("http://catalog.hathitrust.org/Record/001573115","HathiTrust Record")</f>
        <v/>
      </c>
      <c r="AS56">
        <f>HYPERLINK("https://creighton-primo.hosted.exlibrisgroup.com/primo-explore/search?tab=default_tab&amp;search_scope=EVERYTHING&amp;vid=01CRU&amp;lang=en_US&amp;offset=0&amp;query=any,contains,991003282599702656","Catalog Record")</f>
        <v/>
      </c>
      <c r="AT56">
        <f>HYPERLINK("http://www.worldcat.org/oclc/804937","WorldCat Record")</f>
        <v/>
      </c>
      <c r="AU56" t="inlineStr">
        <is>
          <t>1622106:eng</t>
        </is>
      </c>
      <c r="AV56" t="inlineStr">
        <is>
          <t>804937</t>
        </is>
      </c>
      <c r="AW56" t="inlineStr">
        <is>
          <t>991003282599702656</t>
        </is>
      </c>
      <c r="AX56" t="inlineStr">
        <is>
          <t>991003282599702656</t>
        </is>
      </c>
      <c r="AY56" t="inlineStr">
        <is>
          <t>2269683490002656</t>
        </is>
      </c>
      <c r="AZ56" t="inlineStr">
        <is>
          <t>BOOK</t>
        </is>
      </c>
      <c r="BB56" t="inlineStr">
        <is>
          <t>9780875891903</t>
        </is>
      </c>
      <c r="BC56" t="inlineStr">
        <is>
          <t>32285003094488</t>
        </is>
      </c>
      <c r="BD56" t="inlineStr">
        <is>
          <t>893698853</t>
        </is>
      </c>
    </row>
    <row r="57">
      <c r="A57" t="inlineStr">
        <is>
          <t>No</t>
        </is>
      </c>
      <c r="B57" t="inlineStr">
        <is>
          <t>RM340 .B76 1995</t>
        </is>
      </c>
      <c r="C57" t="inlineStr">
        <is>
          <t>0                      RM 0340000B  76          1995</t>
        </is>
      </c>
      <c r="D57" t="inlineStr">
        <is>
          <t>Ethical issues in drug testing, approval, and pricing : the clot-dissolving drugs / Baruch A. Brody.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Brody, Baruch A.</t>
        </is>
      </c>
      <c r="L57" t="inlineStr">
        <is>
          <t>New York : Oxford University Press, 1995.</t>
        </is>
      </c>
      <c r="M57" t="inlineStr">
        <is>
          <t>1995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RM </t>
        </is>
      </c>
      <c r="S57" t="n">
        <v>14</v>
      </c>
      <c r="T57" t="n">
        <v>14</v>
      </c>
      <c r="U57" t="inlineStr">
        <is>
          <t>2002-01-18</t>
        </is>
      </c>
      <c r="V57" t="inlineStr">
        <is>
          <t>2002-01-18</t>
        </is>
      </c>
      <c r="W57" t="inlineStr">
        <is>
          <t>1995-02-14</t>
        </is>
      </c>
      <c r="X57" t="inlineStr">
        <is>
          <t>1995-03-06</t>
        </is>
      </c>
      <c r="Y57" t="n">
        <v>325</v>
      </c>
      <c r="Z57" t="n">
        <v>276</v>
      </c>
      <c r="AA57" t="n">
        <v>279</v>
      </c>
      <c r="AB57" t="n">
        <v>3</v>
      </c>
      <c r="AC57" t="n">
        <v>3</v>
      </c>
      <c r="AD57" t="n">
        <v>19</v>
      </c>
      <c r="AE57" t="n">
        <v>19</v>
      </c>
      <c r="AF57" t="n">
        <v>2</v>
      </c>
      <c r="AG57" t="n">
        <v>2</v>
      </c>
      <c r="AH57" t="n">
        <v>3</v>
      </c>
      <c r="AI57" t="n">
        <v>3</v>
      </c>
      <c r="AJ57" t="n">
        <v>7</v>
      </c>
      <c r="AK57" t="n">
        <v>7</v>
      </c>
      <c r="AL57" t="n">
        <v>1</v>
      </c>
      <c r="AM57" t="n">
        <v>1</v>
      </c>
      <c r="AN57" t="n">
        <v>9</v>
      </c>
      <c r="AO57" t="n">
        <v>9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HYPERLINK("http://catalog.hathitrust.org/Record/002905495","HathiTrust Record")</f>
        <v/>
      </c>
      <c r="AS57">
        <f>HYPERLINK("https://creighton-primo.hosted.exlibrisgroup.com/primo-explore/search?tab=default_tab&amp;search_scope=EVERYTHING&amp;vid=01CRU&amp;lang=en_US&amp;offset=0&amp;query=any,contains,991001661759702656","Catalog Record")</f>
        <v/>
      </c>
      <c r="AT57">
        <f>HYPERLINK("http://www.worldcat.org/oclc/29877585","WorldCat Record")</f>
        <v/>
      </c>
      <c r="AU57" t="inlineStr">
        <is>
          <t>836748974:eng</t>
        </is>
      </c>
      <c r="AV57" t="inlineStr">
        <is>
          <t>29877585</t>
        </is>
      </c>
      <c r="AW57" t="inlineStr">
        <is>
          <t>991001661759702656</t>
        </is>
      </c>
      <c r="AX57" t="inlineStr">
        <is>
          <t>991001661759702656</t>
        </is>
      </c>
      <c r="AY57" t="inlineStr">
        <is>
          <t>2257935610002656</t>
        </is>
      </c>
      <c r="AZ57" t="inlineStr">
        <is>
          <t>BOOK</t>
        </is>
      </c>
      <c r="BB57" t="inlineStr">
        <is>
          <t>9780195088311</t>
        </is>
      </c>
      <c r="BC57" t="inlineStr">
        <is>
          <t>32285001998698</t>
        </is>
      </c>
      <c r="BD57" t="inlineStr">
        <is>
          <t>893803790</t>
        </is>
      </c>
    </row>
    <row r="58">
      <c r="A58" t="inlineStr">
        <is>
          <t>No</t>
        </is>
      </c>
      <c r="B58" t="inlineStr">
        <is>
          <t>RM666.G15 K3</t>
        </is>
      </c>
      <c r="C58" t="inlineStr">
        <is>
          <t>0                      RM 0666000G  15                 K  3</t>
        </is>
      </c>
      <c r="D58" t="inlineStr">
        <is>
          <t>Garlic, the unknown miracle worker : odorless garlic medicine and garlic Flow-Leben / by Yoshio Kato ; translation into English, Masuo Hayata, Yoshio Nakamura, Yukio Nagai ; rewriting, Thomas J. Reilly.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Katō, Yoshio, 1920-</t>
        </is>
      </c>
      <c r="L58" t="inlineStr">
        <is>
          <t>Amagasakici, Japan : Oyama Garlic Laboratory, 1973.</t>
        </is>
      </c>
      <c r="M58" t="inlineStr">
        <is>
          <t>1973</t>
        </is>
      </c>
      <c r="O58" t="inlineStr">
        <is>
          <t>eng</t>
        </is>
      </c>
      <c r="P58" t="inlineStr">
        <is>
          <t xml:space="preserve">ja </t>
        </is>
      </c>
      <c r="R58" t="inlineStr">
        <is>
          <t xml:space="preserve">RM </t>
        </is>
      </c>
      <c r="S58" t="n">
        <v>5</v>
      </c>
      <c r="T58" t="n">
        <v>5</v>
      </c>
      <c r="U58" t="inlineStr">
        <is>
          <t>1997-11-22</t>
        </is>
      </c>
      <c r="V58" t="inlineStr">
        <is>
          <t>1997-11-22</t>
        </is>
      </c>
      <c r="W58" t="inlineStr">
        <is>
          <t>1995-04-18</t>
        </is>
      </c>
      <c r="X58" t="inlineStr">
        <is>
          <t>1995-04-18</t>
        </is>
      </c>
      <c r="Y58" t="n">
        <v>285</v>
      </c>
      <c r="Z58" t="n">
        <v>229</v>
      </c>
      <c r="AA58" t="n">
        <v>231</v>
      </c>
      <c r="AB58" t="n">
        <v>6</v>
      </c>
      <c r="AC58" t="n">
        <v>6</v>
      </c>
      <c r="AD58" t="n">
        <v>12</v>
      </c>
      <c r="AE58" t="n">
        <v>12</v>
      </c>
      <c r="AF58" t="n">
        <v>3</v>
      </c>
      <c r="AG58" t="n">
        <v>3</v>
      </c>
      <c r="AH58" t="n">
        <v>3</v>
      </c>
      <c r="AI58" t="n">
        <v>3</v>
      </c>
      <c r="AJ58" t="n">
        <v>4</v>
      </c>
      <c r="AK58" t="n">
        <v>4</v>
      </c>
      <c r="AL58" t="n">
        <v>5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HYPERLINK("http://catalog.hathitrust.org/Record/001579309","HathiTrust Record")</f>
        <v/>
      </c>
      <c r="AS58">
        <f>HYPERLINK("https://creighton-primo.hosted.exlibrisgroup.com/primo-explore/search?tab=default_tab&amp;search_scope=EVERYTHING&amp;vid=01CRU&amp;lang=en_US&amp;offset=0&amp;query=any,contains,991003203099702656","Catalog Record")</f>
        <v/>
      </c>
      <c r="AT58">
        <f>HYPERLINK("http://www.worldcat.org/oclc/728138","WorldCat Record")</f>
        <v/>
      </c>
      <c r="AU58" t="inlineStr">
        <is>
          <t>1745064:eng</t>
        </is>
      </c>
      <c r="AV58" t="inlineStr">
        <is>
          <t>728138</t>
        </is>
      </c>
      <c r="AW58" t="inlineStr">
        <is>
          <t>991003203099702656</t>
        </is>
      </c>
      <c r="AX58" t="inlineStr">
        <is>
          <t>991003203099702656</t>
        </is>
      </c>
      <c r="AY58" t="inlineStr">
        <is>
          <t>2262258670002656</t>
        </is>
      </c>
      <c r="AZ58" t="inlineStr">
        <is>
          <t>BOOK</t>
        </is>
      </c>
      <c r="BC58" t="inlineStr">
        <is>
          <t>32285002027471</t>
        </is>
      </c>
      <c r="BD58" t="inlineStr">
        <is>
          <t>893330062</t>
        </is>
      </c>
    </row>
    <row r="59">
      <c r="A59" t="inlineStr">
        <is>
          <t>No</t>
        </is>
      </c>
      <c r="B59" t="inlineStr">
        <is>
          <t>RM666.H33 K36 1992</t>
        </is>
      </c>
      <c r="C59" t="inlineStr">
        <is>
          <t>0                      RM 0666000H  33                 K  36          1992</t>
        </is>
      </c>
      <c r="D59" t="inlineStr">
        <is>
          <t>The herbalist / Michael Jay Katz.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Katz, Michael Jay, 1950-</t>
        </is>
      </c>
      <c r="L59" t="inlineStr">
        <is>
          <t>Lanham, Md. : University Press of America, c1992.</t>
        </is>
      </c>
      <c r="M59" t="inlineStr">
        <is>
          <t>1992</t>
        </is>
      </c>
      <c r="O59" t="inlineStr">
        <is>
          <t>eng</t>
        </is>
      </c>
      <c r="P59" t="inlineStr">
        <is>
          <t>mdu</t>
        </is>
      </c>
      <c r="R59" t="inlineStr">
        <is>
          <t xml:space="preserve">RM </t>
        </is>
      </c>
      <c r="S59" t="n">
        <v>10</v>
      </c>
      <c r="T59" t="n">
        <v>10</v>
      </c>
      <c r="U59" t="inlineStr">
        <is>
          <t>2000-08-28</t>
        </is>
      </c>
      <c r="V59" t="inlineStr">
        <is>
          <t>2000-08-28</t>
        </is>
      </c>
      <c r="W59" t="inlineStr">
        <is>
          <t>1992-03-26</t>
        </is>
      </c>
      <c r="X59" t="inlineStr">
        <is>
          <t>1992-03-26</t>
        </is>
      </c>
      <c r="Y59" t="n">
        <v>98</v>
      </c>
      <c r="Z59" t="n">
        <v>88</v>
      </c>
      <c r="AA59" t="n">
        <v>88</v>
      </c>
      <c r="AB59" t="n">
        <v>1</v>
      </c>
      <c r="AC59" t="n">
        <v>1</v>
      </c>
      <c r="AD59" t="n">
        <v>3</v>
      </c>
      <c r="AE59" t="n">
        <v>3</v>
      </c>
      <c r="AF59" t="n">
        <v>1</v>
      </c>
      <c r="AG59" t="n">
        <v>1</v>
      </c>
      <c r="AH59" t="n">
        <v>1</v>
      </c>
      <c r="AI59" t="n">
        <v>1</v>
      </c>
      <c r="AJ59" t="n">
        <v>2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HYPERLINK("https://creighton-primo.hosted.exlibrisgroup.com/primo-explore/search?tab=default_tab&amp;search_scope=EVERYTHING&amp;vid=01CRU&amp;lang=en_US&amp;offset=0&amp;query=any,contains,991001953669702656","Catalog Record")</f>
        <v/>
      </c>
      <c r="AT59">
        <f>HYPERLINK("http://www.worldcat.org/oclc/24698767","WorldCat Record")</f>
        <v/>
      </c>
      <c r="AU59" t="inlineStr">
        <is>
          <t>43672738:eng</t>
        </is>
      </c>
      <c r="AV59" t="inlineStr">
        <is>
          <t>24698767</t>
        </is>
      </c>
      <c r="AW59" t="inlineStr">
        <is>
          <t>991001953669702656</t>
        </is>
      </c>
      <c r="AX59" t="inlineStr">
        <is>
          <t>991001953669702656</t>
        </is>
      </c>
      <c r="AY59" t="inlineStr">
        <is>
          <t>2268269600002656</t>
        </is>
      </c>
      <c r="AZ59" t="inlineStr">
        <is>
          <t>BOOK</t>
        </is>
      </c>
      <c r="BB59" t="inlineStr">
        <is>
          <t>9780819185525</t>
        </is>
      </c>
      <c r="BC59" t="inlineStr">
        <is>
          <t>32285001001295</t>
        </is>
      </c>
      <c r="BD59" t="inlineStr">
        <is>
          <t>893322390</t>
        </is>
      </c>
    </row>
    <row r="60">
      <c r="A60" t="inlineStr">
        <is>
          <t>No</t>
        </is>
      </c>
      <c r="B60" t="inlineStr">
        <is>
          <t>RM666.H33 P49 1998</t>
        </is>
      </c>
      <c r="C60" t="inlineStr">
        <is>
          <t>0                      RM 0666000H  33                 P  49          1998</t>
        </is>
      </c>
      <c r="D60" t="inlineStr">
        <is>
          <t>Phytomedicines of Europe : chemistry and biological activity / Larry D. Lawson, Rudolf Bauer, editors.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Washington, DC : American Chemical Society, 1998.</t>
        </is>
      </c>
      <c r="M60" t="inlineStr">
        <is>
          <t>1998</t>
        </is>
      </c>
      <c r="O60" t="inlineStr">
        <is>
          <t>eng</t>
        </is>
      </c>
      <c r="P60" t="inlineStr">
        <is>
          <t>dcu</t>
        </is>
      </c>
      <c r="Q60" t="inlineStr">
        <is>
          <t>ACS symposium series ; 691</t>
        </is>
      </c>
      <c r="R60" t="inlineStr">
        <is>
          <t xml:space="preserve">RM </t>
        </is>
      </c>
      <c r="S60" t="n">
        <v>7</v>
      </c>
      <c r="T60" t="n">
        <v>7</v>
      </c>
      <c r="U60" t="inlineStr">
        <is>
          <t>2002-04-24</t>
        </is>
      </c>
      <c r="V60" t="inlineStr">
        <is>
          <t>2002-04-24</t>
        </is>
      </c>
      <c r="W60" t="inlineStr">
        <is>
          <t>2001-04-19</t>
        </is>
      </c>
      <c r="X60" t="inlineStr">
        <is>
          <t>2001-04-19</t>
        </is>
      </c>
      <c r="Y60" t="n">
        <v>208</v>
      </c>
      <c r="Z60" t="n">
        <v>166</v>
      </c>
      <c r="AA60" t="n">
        <v>198</v>
      </c>
      <c r="AB60" t="n">
        <v>3</v>
      </c>
      <c r="AC60" t="n">
        <v>3</v>
      </c>
      <c r="AD60" t="n">
        <v>5</v>
      </c>
      <c r="AE60" t="n">
        <v>5</v>
      </c>
      <c r="AF60" t="n">
        <v>2</v>
      </c>
      <c r="AG60" t="n">
        <v>2</v>
      </c>
      <c r="AH60" t="n">
        <v>1</v>
      </c>
      <c r="AI60" t="n">
        <v>1</v>
      </c>
      <c r="AJ60" t="n">
        <v>1</v>
      </c>
      <c r="AK60" t="n">
        <v>1</v>
      </c>
      <c r="AL60" t="n">
        <v>2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HYPERLINK("http://catalog.hathitrust.org/Record/003259667","HathiTrust Record")</f>
        <v/>
      </c>
      <c r="AS60">
        <f>HYPERLINK("https://creighton-primo.hosted.exlibrisgroup.com/primo-explore/search?tab=default_tab&amp;search_scope=EVERYTHING&amp;vid=01CRU&amp;lang=en_US&amp;offset=0&amp;query=any,contains,991003503449702656","Catalog Record")</f>
        <v/>
      </c>
      <c r="AT60">
        <f>HYPERLINK("http://www.worldcat.org/oclc/38494614","WorldCat Record")</f>
        <v/>
      </c>
      <c r="AU60" t="inlineStr">
        <is>
          <t>795126766:eng</t>
        </is>
      </c>
      <c r="AV60" t="inlineStr">
        <is>
          <t>38494614</t>
        </is>
      </c>
      <c r="AW60" t="inlineStr">
        <is>
          <t>991003503449702656</t>
        </is>
      </c>
      <c r="AX60" t="inlineStr">
        <is>
          <t>991003503449702656</t>
        </is>
      </c>
      <c r="AY60" t="inlineStr">
        <is>
          <t>2270176410002656</t>
        </is>
      </c>
      <c r="AZ60" t="inlineStr">
        <is>
          <t>BOOK</t>
        </is>
      </c>
      <c r="BB60" t="inlineStr">
        <is>
          <t>9780841235595</t>
        </is>
      </c>
      <c r="BC60" t="inlineStr">
        <is>
          <t>32285004313507</t>
        </is>
      </c>
      <c r="BD60" t="inlineStr">
        <is>
          <t>893692774</t>
        </is>
      </c>
    </row>
    <row r="61">
      <c r="A61" t="inlineStr">
        <is>
          <t>No</t>
        </is>
      </c>
      <c r="B61" t="inlineStr">
        <is>
          <t>RM666.H33 P737 2006</t>
        </is>
      </c>
      <c r="C61" t="inlineStr">
        <is>
          <t>0                      RM 0666000H  33                 P  737         2006</t>
        </is>
      </c>
      <c r="D61" t="inlineStr">
        <is>
          <t>Ayurvedic herbs : a clinical guide to the healing plants of traditional Indian medicine / M.S. Premila.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Premila, M. S.</t>
        </is>
      </c>
      <c r="L61" t="inlineStr">
        <is>
          <t>New York : Haworth Press, c2006.</t>
        </is>
      </c>
      <c r="M61" t="inlineStr">
        <is>
          <t>2006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RM </t>
        </is>
      </c>
      <c r="S61" t="n">
        <v>2</v>
      </c>
      <c r="T61" t="n">
        <v>2</v>
      </c>
      <c r="U61" t="inlineStr">
        <is>
          <t>2007-12-12</t>
        </is>
      </c>
      <c r="V61" t="inlineStr">
        <is>
          <t>2007-12-12</t>
        </is>
      </c>
      <c r="W61" t="inlineStr">
        <is>
          <t>2007-12-12</t>
        </is>
      </c>
      <c r="X61" t="inlineStr">
        <is>
          <t>2007-12-12</t>
        </is>
      </c>
      <c r="Y61" t="n">
        <v>207</v>
      </c>
      <c r="Z61" t="n">
        <v>159</v>
      </c>
      <c r="AA61" t="n">
        <v>179</v>
      </c>
      <c r="AB61" t="n">
        <v>1</v>
      </c>
      <c r="AC61" t="n">
        <v>1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HYPERLINK("https://creighton-primo.hosted.exlibrisgroup.com/primo-explore/search?tab=default_tab&amp;search_scope=EVERYTHING&amp;vid=01CRU&amp;lang=en_US&amp;offset=0&amp;query=any,contains,991005139249702656","Catalog Record")</f>
        <v/>
      </c>
      <c r="AT61">
        <f>HYPERLINK("http://www.worldcat.org/oclc/62493293","WorldCat Record")</f>
        <v/>
      </c>
      <c r="AU61" t="inlineStr">
        <is>
          <t>341168387:eng</t>
        </is>
      </c>
      <c r="AV61" t="inlineStr">
        <is>
          <t>62493293</t>
        </is>
      </c>
      <c r="AW61" t="inlineStr">
        <is>
          <t>991005139249702656</t>
        </is>
      </c>
      <c r="AX61" t="inlineStr">
        <is>
          <t>991005139249702656</t>
        </is>
      </c>
      <c r="AY61" t="inlineStr">
        <is>
          <t>2269155110002656</t>
        </is>
      </c>
      <c r="AZ61" t="inlineStr">
        <is>
          <t>BOOK</t>
        </is>
      </c>
      <c r="BB61" t="inlineStr">
        <is>
          <t>9780789017673</t>
        </is>
      </c>
      <c r="BC61" t="inlineStr">
        <is>
          <t>32285005371850</t>
        </is>
      </c>
      <c r="BD61" t="inlineStr">
        <is>
          <t>893350784</t>
        </is>
      </c>
    </row>
    <row r="62">
      <c r="A62" t="inlineStr">
        <is>
          <t>No</t>
        </is>
      </c>
      <c r="B62" t="inlineStr">
        <is>
          <t>RM666.P35 L39 2004</t>
        </is>
      </c>
      <c r="C62" t="inlineStr">
        <is>
          <t>0                      RM 0666000P  35                 L  39          2004</t>
        </is>
      </c>
      <c r="D62" t="inlineStr">
        <is>
          <t>The mold in Dr. Florey's coat : the story of the penicillin miracle / Eric Lax.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Lax, Eric.</t>
        </is>
      </c>
      <c r="L62" t="inlineStr">
        <is>
          <t>New York : H. Holt, 2004.</t>
        </is>
      </c>
      <c r="M62" t="inlineStr">
        <is>
          <t>2004</t>
        </is>
      </c>
      <c r="N62" t="inlineStr">
        <is>
          <t>1st ed.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RM </t>
        </is>
      </c>
      <c r="S62" t="n">
        <v>3</v>
      </c>
      <c r="T62" t="n">
        <v>3</v>
      </c>
      <c r="U62" t="inlineStr">
        <is>
          <t>2010-03-29</t>
        </is>
      </c>
      <c r="V62" t="inlineStr">
        <is>
          <t>2010-03-29</t>
        </is>
      </c>
      <c r="W62" t="inlineStr">
        <is>
          <t>2004-11-01</t>
        </is>
      </c>
      <c r="X62" t="inlineStr">
        <is>
          <t>2004-11-01</t>
        </is>
      </c>
      <c r="Y62" t="n">
        <v>1115</v>
      </c>
      <c r="Z62" t="n">
        <v>1051</v>
      </c>
      <c r="AA62" t="n">
        <v>1188</v>
      </c>
      <c r="AB62" t="n">
        <v>4</v>
      </c>
      <c r="AC62" t="n">
        <v>6</v>
      </c>
      <c r="AD62" t="n">
        <v>21</v>
      </c>
      <c r="AE62" t="n">
        <v>26</v>
      </c>
      <c r="AF62" t="n">
        <v>12</v>
      </c>
      <c r="AG62" t="n">
        <v>14</v>
      </c>
      <c r="AH62" t="n">
        <v>3</v>
      </c>
      <c r="AI62" t="n">
        <v>3</v>
      </c>
      <c r="AJ62" t="n">
        <v>10</v>
      </c>
      <c r="AK62" t="n">
        <v>11</v>
      </c>
      <c r="AL62" t="n">
        <v>1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HYPERLINK("https://creighton-primo.hosted.exlibrisgroup.com/primo-explore/search?tab=default_tab&amp;search_scope=EVERYTHING&amp;vid=01CRU&amp;lang=en_US&amp;offset=0&amp;query=any,contains,991004283989702656","Catalog Record")</f>
        <v/>
      </c>
      <c r="AT62">
        <f>HYPERLINK("http://www.worldcat.org/oclc/52727654","WorldCat Record")</f>
        <v/>
      </c>
      <c r="AU62" t="inlineStr">
        <is>
          <t>783601:eng</t>
        </is>
      </c>
      <c r="AV62" t="inlineStr">
        <is>
          <t>52727654</t>
        </is>
      </c>
      <c r="AW62" t="inlineStr">
        <is>
          <t>991004283989702656</t>
        </is>
      </c>
      <c r="AX62" t="inlineStr">
        <is>
          <t>991004283989702656</t>
        </is>
      </c>
      <c r="AY62" t="inlineStr">
        <is>
          <t>2256669940002656</t>
        </is>
      </c>
      <c r="AZ62" t="inlineStr">
        <is>
          <t>BOOK</t>
        </is>
      </c>
      <c r="BB62" t="inlineStr">
        <is>
          <t>9780805067903</t>
        </is>
      </c>
      <c r="BC62" t="inlineStr">
        <is>
          <t>32285005007579</t>
        </is>
      </c>
      <c r="BD62" t="inlineStr">
        <is>
          <t>893325176</t>
        </is>
      </c>
    </row>
    <row r="63">
      <c r="A63" t="inlineStr">
        <is>
          <t>No</t>
        </is>
      </c>
      <c r="B63" t="inlineStr">
        <is>
          <t>RM701 .G75 1988</t>
        </is>
      </c>
      <c r="C63" t="inlineStr">
        <is>
          <t>0                      RM 0701000G  75          1988</t>
        </is>
      </c>
      <c r="D63" t="inlineStr">
        <is>
          <t>Physical agents for physical therapists / by James E. Griffin and Terence C. Karselis ; with a contribution by Dean P. Currier.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Yes</t>
        </is>
      </c>
      <c r="J63" t="inlineStr">
        <is>
          <t>0</t>
        </is>
      </c>
      <c r="K63" t="inlineStr">
        <is>
          <t>Griffin, James E.</t>
        </is>
      </c>
      <c r="L63" t="inlineStr">
        <is>
          <t>Springfield, Ill., U.S.A. : Thomas, 1988.</t>
        </is>
      </c>
      <c r="M63" t="inlineStr">
        <is>
          <t>1988</t>
        </is>
      </c>
      <c r="N63" t="inlineStr">
        <is>
          <t>3rd ed.</t>
        </is>
      </c>
      <c r="O63" t="inlineStr">
        <is>
          <t>eng</t>
        </is>
      </c>
      <c r="P63" t="inlineStr">
        <is>
          <t>ilu</t>
        </is>
      </c>
      <c r="R63" t="inlineStr">
        <is>
          <t xml:space="preserve">RM </t>
        </is>
      </c>
      <c r="S63" t="n">
        <v>10</v>
      </c>
      <c r="T63" t="n">
        <v>10</v>
      </c>
      <c r="U63" t="inlineStr">
        <is>
          <t>1996-01-29</t>
        </is>
      </c>
      <c r="V63" t="inlineStr">
        <is>
          <t>1996-01-29</t>
        </is>
      </c>
      <c r="W63" t="inlineStr">
        <is>
          <t>1992-01-21</t>
        </is>
      </c>
      <c r="X63" t="inlineStr">
        <is>
          <t>1992-01-21</t>
        </is>
      </c>
      <c r="Y63" t="n">
        <v>180</v>
      </c>
      <c r="Z63" t="n">
        <v>153</v>
      </c>
      <c r="AA63" t="n">
        <v>319</v>
      </c>
      <c r="AB63" t="n">
        <v>1</v>
      </c>
      <c r="AC63" t="n">
        <v>3</v>
      </c>
      <c r="AD63" t="n">
        <v>4</v>
      </c>
      <c r="AE63" t="n">
        <v>9</v>
      </c>
      <c r="AF63" t="n">
        <v>2</v>
      </c>
      <c r="AG63" t="n">
        <v>5</v>
      </c>
      <c r="AH63" t="n">
        <v>2</v>
      </c>
      <c r="AI63" t="n">
        <v>2</v>
      </c>
      <c r="AJ63" t="n">
        <v>1</v>
      </c>
      <c r="AK63" t="n">
        <v>3</v>
      </c>
      <c r="AL63" t="n">
        <v>0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HYPERLINK("http://catalog.hathitrust.org/Record/004538292","HathiTrust Record")</f>
        <v/>
      </c>
      <c r="AS63">
        <f>HYPERLINK("https://creighton-primo.hosted.exlibrisgroup.com/primo-explore/search?tab=default_tab&amp;search_scope=EVERYTHING&amp;vid=01CRU&amp;lang=en_US&amp;offset=0&amp;query=any,contains,991001092379702656","Catalog Record")</f>
        <v/>
      </c>
      <c r="AT63">
        <f>HYPERLINK("http://www.worldcat.org/oclc/16225909","WorldCat Record")</f>
        <v/>
      </c>
      <c r="AU63" t="inlineStr">
        <is>
          <t>8067809:eng</t>
        </is>
      </c>
      <c r="AV63" t="inlineStr">
        <is>
          <t>16225909</t>
        </is>
      </c>
      <c r="AW63" t="inlineStr">
        <is>
          <t>991001092379702656</t>
        </is>
      </c>
      <c r="AX63" t="inlineStr">
        <is>
          <t>991001092379702656</t>
        </is>
      </c>
      <c r="AY63" t="inlineStr">
        <is>
          <t>2264397670002656</t>
        </is>
      </c>
      <c r="AZ63" t="inlineStr">
        <is>
          <t>BOOK</t>
        </is>
      </c>
      <c r="BB63" t="inlineStr">
        <is>
          <t>9780398053840</t>
        </is>
      </c>
      <c r="BC63" t="inlineStr">
        <is>
          <t>32285000916295</t>
        </is>
      </c>
      <c r="BD63" t="inlineStr">
        <is>
          <t>893602313</t>
        </is>
      </c>
    </row>
    <row r="64">
      <c r="A64" t="inlineStr">
        <is>
          <t>No</t>
        </is>
      </c>
      <c r="B64" t="inlineStr">
        <is>
          <t>RM701 .S55 1995</t>
        </is>
      </c>
      <c r="C64" t="inlineStr">
        <is>
          <t>0                      RM 0701000S  55          1995</t>
        </is>
      </c>
      <c r="D64" t="inlineStr">
        <is>
          <t>Motor control : theory and practical applications / Anne Shumway-Cook, Marjorie H. Woollacott.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Yes</t>
        </is>
      </c>
      <c r="J64" t="inlineStr">
        <is>
          <t>0</t>
        </is>
      </c>
      <c r="K64" t="inlineStr">
        <is>
          <t>Shumway-Cook, Anne, 1947-</t>
        </is>
      </c>
      <c r="L64" t="inlineStr">
        <is>
          <t>Baltimore : Williams &amp; Wilkins, c1995.</t>
        </is>
      </c>
      <c r="M64" t="inlineStr">
        <is>
          <t>1995</t>
        </is>
      </c>
      <c r="O64" t="inlineStr">
        <is>
          <t>eng</t>
        </is>
      </c>
      <c r="P64" t="inlineStr">
        <is>
          <t>mdu</t>
        </is>
      </c>
      <c r="R64" t="inlineStr">
        <is>
          <t xml:space="preserve">RM </t>
        </is>
      </c>
      <c r="S64" t="n">
        <v>1</v>
      </c>
      <c r="T64" t="n">
        <v>20</v>
      </c>
      <c r="V64" t="inlineStr">
        <is>
          <t>2006-06-21</t>
        </is>
      </c>
      <c r="W64" t="inlineStr">
        <is>
          <t>1996-01-25</t>
        </is>
      </c>
      <c r="X64" t="inlineStr">
        <is>
          <t>1996-01-25</t>
        </is>
      </c>
      <c r="Y64" t="n">
        <v>273</v>
      </c>
      <c r="Z64" t="n">
        <v>196</v>
      </c>
      <c r="AA64" t="n">
        <v>399</v>
      </c>
      <c r="AB64" t="n">
        <v>2</v>
      </c>
      <c r="AC64" t="n">
        <v>3</v>
      </c>
      <c r="AD64" t="n">
        <v>7</v>
      </c>
      <c r="AE64" t="n">
        <v>17</v>
      </c>
      <c r="AF64" t="n">
        <v>3</v>
      </c>
      <c r="AG64" t="n">
        <v>8</v>
      </c>
      <c r="AH64" t="n">
        <v>2</v>
      </c>
      <c r="AI64" t="n">
        <v>4</v>
      </c>
      <c r="AJ64" t="n">
        <v>3</v>
      </c>
      <c r="AK64" t="n">
        <v>7</v>
      </c>
      <c r="AL64" t="n">
        <v>0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HYPERLINK("http://catalog.hathitrust.org/Record/002960532","HathiTrust Record")</f>
        <v/>
      </c>
      <c r="AS64">
        <f>HYPERLINK("https://creighton-primo.hosted.exlibrisgroup.com/primo-explore/search?tab=default_tab&amp;search_scope=EVERYTHING&amp;vid=01CRU&amp;lang=en_US&amp;offset=0&amp;query=any,contains,991001804159702656","Catalog Record")</f>
        <v/>
      </c>
      <c r="AT64">
        <f>HYPERLINK("http://www.worldcat.org/oclc/30894139","WorldCat Record")</f>
        <v/>
      </c>
      <c r="AU64" t="inlineStr">
        <is>
          <t>3372852580:eng</t>
        </is>
      </c>
      <c r="AV64" t="inlineStr">
        <is>
          <t>30894139</t>
        </is>
      </c>
      <c r="AW64" t="inlineStr">
        <is>
          <t>991001804159702656</t>
        </is>
      </c>
      <c r="AX64" t="inlineStr">
        <is>
          <t>991001804159702656</t>
        </is>
      </c>
      <c r="AY64" t="inlineStr">
        <is>
          <t>2271527940002656</t>
        </is>
      </c>
      <c r="AZ64" t="inlineStr">
        <is>
          <t>BOOK</t>
        </is>
      </c>
      <c r="BB64" t="inlineStr">
        <is>
          <t>9780683077575</t>
        </is>
      </c>
      <c r="BC64" t="inlineStr">
        <is>
          <t>32285002125929</t>
        </is>
      </c>
      <c r="BD64" t="inlineStr">
        <is>
          <t>893316081</t>
        </is>
      </c>
    </row>
    <row r="65">
      <c r="A65" t="inlineStr">
        <is>
          <t>No</t>
        </is>
      </c>
      <c r="B65" t="inlineStr">
        <is>
          <t>RM701 .S6613 1981</t>
        </is>
      </c>
      <c r="C65" t="inlineStr">
        <is>
          <t>0                      RM 0701000S  6613        1981</t>
        </is>
      </c>
      <c r="D65" t="inlineStr">
        <is>
          <t>Physical therapy for sports / edited by Werner Kuprian, with the collaboration of Doris Eitner, Lutz Meissner, Helmut Ork ; translated by Todd Kontje.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Yes</t>
        </is>
      </c>
      <c r="J65" t="inlineStr">
        <is>
          <t>0</t>
        </is>
      </c>
      <c r="K65" t="inlineStr">
        <is>
          <t>Sport-Physiotherapie. English.</t>
        </is>
      </c>
      <c r="L65" t="inlineStr">
        <is>
          <t>Philadelphia : Saunders, 1981.</t>
        </is>
      </c>
      <c r="M65" t="inlineStr">
        <is>
          <t>1982</t>
        </is>
      </c>
      <c r="N65" t="inlineStr">
        <is>
          <t>Authorized English ed.</t>
        </is>
      </c>
      <c r="O65" t="inlineStr">
        <is>
          <t>eng</t>
        </is>
      </c>
      <c r="P65" t="inlineStr">
        <is>
          <t>pau</t>
        </is>
      </c>
      <c r="R65" t="inlineStr">
        <is>
          <t xml:space="preserve">RM </t>
        </is>
      </c>
      <c r="S65" t="n">
        <v>9</v>
      </c>
      <c r="T65" t="n">
        <v>9</v>
      </c>
      <c r="U65" t="inlineStr">
        <is>
          <t>1997-03-27</t>
        </is>
      </c>
      <c r="V65" t="inlineStr">
        <is>
          <t>1997-03-27</t>
        </is>
      </c>
      <c r="W65" t="inlineStr">
        <is>
          <t>1992-02-01</t>
        </is>
      </c>
      <c r="X65" t="inlineStr">
        <is>
          <t>1992-02-01</t>
        </is>
      </c>
      <c r="Y65" t="n">
        <v>291</v>
      </c>
      <c r="Z65" t="n">
        <v>239</v>
      </c>
      <c r="AA65" t="n">
        <v>390</v>
      </c>
      <c r="AB65" t="n">
        <v>3</v>
      </c>
      <c r="AC65" t="n">
        <v>6</v>
      </c>
      <c r="AD65" t="n">
        <v>4</v>
      </c>
      <c r="AE65" t="n">
        <v>10</v>
      </c>
      <c r="AF65" t="n">
        <v>1</v>
      </c>
      <c r="AG65" t="n">
        <v>4</v>
      </c>
      <c r="AH65" t="n">
        <v>1</v>
      </c>
      <c r="AI65" t="n">
        <v>1</v>
      </c>
      <c r="AJ65" t="n">
        <v>0</v>
      </c>
      <c r="AK65" t="n">
        <v>1</v>
      </c>
      <c r="AL65" t="n">
        <v>2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HYPERLINK("http://catalog.hathitrust.org/Record/000279725","HathiTrust Record")</f>
        <v/>
      </c>
      <c r="AS65">
        <f>HYPERLINK("https://creighton-primo.hosted.exlibrisgroup.com/primo-explore/search?tab=default_tab&amp;search_scope=EVERYTHING&amp;vid=01CRU&amp;lang=en_US&amp;offset=0&amp;query=any,contains,991005229019702656","Catalog Record")</f>
        <v/>
      </c>
      <c r="AT65">
        <f>HYPERLINK("http://www.worldcat.org/oclc/8305917","WorldCat Record")</f>
        <v/>
      </c>
      <c r="AU65" t="inlineStr">
        <is>
          <t>4020096258:eng</t>
        </is>
      </c>
      <c r="AV65" t="inlineStr">
        <is>
          <t>8305917</t>
        </is>
      </c>
      <c r="AW65" t="inlineStr">
        <is>
          <t>991005229019702656</t>
        </is>
      </c>
      <c r="AX65" t="inlineStr">
        <is>
          <t>991005229019702656</t>
        </is>
      </c>
      <c r="AY65" t="inlineStr">
        <is>
          <t>2269325810002656</t>
        </is>
      </c>
      <c r="AZ65" t="inlineStr">
        <is>
          <t>BOOK</t>
        </is>
      </c>
      <c r="BB65" t="inlineStr">
        <is>
          <t>9780721655536</t>
        </is>
      </c>
      <c r="BC65" t="inlineStr">
        <is>
          <t>32285000933118</t>
        </is>
      </c>
      <c r="BD65" t="inlineStr">
        <is>
          <t>893607047</t>
        </is>
      </c>
    </row>
    <row r="66">
      <c r="A66" t="inlineStr">
        <is>
          <t>No</t>
        </is>
      </c>
      <c r="B66" t="inlineStr">
        <is>
          <t>RM701 .T68</t>
        </is>
      </c>
      <c r="C66" t="inlineStr">
        <is>
          <t>0                      RM 0701000T  68</t>
        </is>
      </c>
      <c r="D66" t="inlineStr">
        <is>
          <t>Careers in physical rehabilitation therapy / by Halima Touré.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Touré, Halima.</t>
        </is>
      </c>
      <c r="L66" t="inlineStr">
        <is>
          <t>New York : Watts, 1977.</t>
        </is>
      </c>
      <c r="M66" t="inlineStr">
        <is>
          <t>1977</t>
        </is>
      </c>
      <c r="O66" t="inlineStr">
        <is>
          <t>eng</t>
        </is>
      </c>
      <c r="P66" t="inlineStr">
        <is>
          <t>nyu</t>
        </is>
      </c>
      <c r="Q66" t="inlineStr">
        <is>
          <t>A Career concise guide</t>
        </is>
      </c>
      <c r="R66" t="inlineStr">
        <is>
          <t xml:space="preserve">RM </t>
        </is>
      </c>
      <c r="S66" t="n">
        <v>23</v>
      </c>
      <c r="T66" t="n">
        <v>23</v>
      </c>
      <c r="U66" t="inlineStr">
        <is>
          <t>2001-12-02</t>
        </is>
      </c>
      <c r="V66" t="inlineStr">
        <is>
          <t>2001-12-02</t>
        </is>
      </c>
      <c r="W66" t="inlineStr">
        <is>
          <t>1991-10-28</t>
        </is>
      </c>
      <c r="X66" t="inlineStr">
        <is>
          <t>1991-10-28</t>
        </is>
      </c>
      <c r="Y66" t="n">
        <v>142</v>
      </c>
      <c r="Z66" t="n">
        <v>142</v>
      </c>
      <c r="AA66" t="n">
        <v>147</v>
      </c>
      <c r="AB66" t="n">
        <v>1</v>
      </c>
      <c r="AC66" t="n">
        <v>1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HYPERLINK("https://creighton-primo.hosted.exlibrisgroup.com/primo-explore/search?tab=default_tab&amp;search_scope=EVERYTHING&amp;vid=01CRU&amp;lang=en_US&amp;offset=0&amp;query=any,contains,991004286749702656","Catalog Record")</f>
        <v/>
      </c>
      <c r="AT66">
        <f>HYPERLINK("http://www.worldcat.org/oclc/2929209","WorldCat Record")</f>
        <v/>
      </c>
      <c r="AU66" t="inlineStr">
        <is>
          <t>6757610:eng</t>
        </is>
      </c>
      <c r="AV66" t="inlineStr">
        <is>
          <t>2929209</t>
        </is>
      </c>
      <c r="AW66" t="inlineStr">
        <is>
          <t>991004286749702656</t>
        </is>
      </c>
      <c r="AX66" t="inlineStr">
        <is>
          <t>991004286749702656</t>
        </is>
      </c>
      <c r="AY66" t="inlineStr">
        <is>
          <t>2267745240002656</t>
        </is>
      </c>
      <c r="AZ66" t="inlineStr">
        <is>
          <t>BOOK</t>
        </is>
      </c>
      <c r="BB66" t="inlineStr">
        <is>
          <t>9780531013069</t>
        </is>
      </c>
      <c r="BC66" t="inlineStr">
        <is>
          <t>32285000802172</t>
        </is>
      </c>
      <c r="BD66" t="inlineStr">
        <is>
          <t>893442433</t>
        </is>
      </c>
    </row>
    <row r="67">
      <c r="A67" t="inlineStr">
        <is>
          <t>No</t>
        </is>
      </c>
      <c r="B67" t="inlineStr">
        <is>
          <t>RM705 .E96 1999</t>
        </is>
      </c>
      <c r="C67" t="inlineStr">
        <is>
          <t>0                      RM 0705000E  96          1999</t>
        </is>
      </c>
      <c r="D67" t="inlineStr">
        <is>
          <t>Expertise in physical therapy practice / Gail M. Jensen ... [et al.] ; with forewords by Ruth B. Purtilo, Jules Rothstein.</t>
        </is>
      </c>
      <c r="F67" t="inlineStr">
        <is>
          <t>No</t>
        </is>
      </c>
      <c r="G67" t="inlineStr">
        <is>
          <t>1</t>
        </is>
      </c>
      <c r="H67" t="inlineStr">
        <is>
          <t>Yes</t>
        </is>
      </c>
      <c r="I67" t="inlineStr">
        <is>
          <t>Yes</t>
        </is>
      </c>
      <c r="J67" t="inlineStr">
        <is>
          <t>0</t>
        </is>
      </c>
      <c r="L67" t="inlineStr">
        <is>
          <t>Boston : Butterworth-Heinemann, c1999.</t>
        </is>
      </c>
      <c r="M67" t="inlineStr">
        <is>
          <t>1999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RM </t>
        </is>
      </c>
      <c r="S67" t="n">
        <v>7</v>
      </c>
      <c r="T67" t="n">
        <v>33</v>
      </c>
      <c r="U67" t="inlineStr">
        <is>
          <t>2006-10-10</t>
        </is>
      </c>
      <c r="V67" t="inlineStr">
        <is>
          <t>2006-10-10</t>
        </is>
      </c>
      <c r="W67" t="inlineStr">
        <is>
          <t>1999-08-18</t>
        </is>
      </c>
      <c r="X67" t="inlineStr">
        <is>
          <t>1999-08-18</t>
        </is>
      </c>
      <c r="Y67" t="n">
        <v>158</v>
      </c>
      <c r="Z67" t="n">
        <v>112</v>
      </c>
      <c r="AA67" t="n">
        <v>233</v>
      </c>
      <c r="AB67" t="n">
        <v>2</v>
      </c>
      <c r="AC67" t="n">
        <v>2</v>
      </c>
      <c r="AD67" t="n">
        <v>3</v>
      </c>
      <c r="AE67" t="n">
        <v>7</v>
      </c>
      <c r="AF67" t="n">
        <v>3</v>
      </c>
      <c r="AG67" t="n">
        <v>6</v>
      </c>
      <c r="AH67" t="n">
        <v>0</v>
      </c>
      <c r="AI67" t="n">
        <v>1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HYPERLINK("http://catalog.hathitrust.org/Record/004040175","HathiTrust Record")</f>
        <v/>
      </c>
      <c r="AS67">
        <f>HYPERLINK("https://creighton-primo.hosted.exlibrisgroup.com/primo-explore/search?tab=default_tab&amp;search_scope=EVERYTHING&amp;vid=01CRU&amp;lang=en_US&amp;offset=0&amp;query=any,contains,991001746529702656","Catalog Record")</f>
        <v/>
      </c>
      <c r="AT67">
        <f>HYPERLINK("http://www.worldcat.org/oclc/40940132","WorldCat Record")</f>
        <v/>
      </c>
      <c r="AU67" t="inlineStr">
        <is>
          <t>56406535:eng</t>
        </is>
      </c>
      <c r="AV67" t="inlineStr">
        <is>
          <t>40940132</t>
        </is>
      </c>
      <c r="AW67" t="inlineStr">
        <is>
          <t>991001746529702656</t>
        </is>
      </c>
      <c r="AX67" t="inlineStr">
        <is>
          <t>991001746529702656</t>
        </is>
      </c>
      <c r="AY67" t="inlineStr">
        <is>
          <t>2264288560002656</t>
        </is>
      </c>
      <c r="AZ67" t="inlineStr">
        <is>
          <t>BOOK</t>
        </is>
      </c>
      <c r="BB67" t="inlineStr">
        <is>
          <t>9780750690409</t>
        </is>
      </c>
      <c r="BC67" t="inlineStr">
        <is>
          <t>32285003582565</t>
        </is>
      </c>
      <c r="BD67" t="inlineStr">
        <is>
          <t>893684594</t>
        </is>
      </c>
    </row>
    <row r="68">
      <c r="A68" t="inlineStr">
        <is>
          <t>No</t>
        </is>
      </c>
      <c r="B68" t="inlineStr">
        <is>
          <t>RM719 .S6</t>
        </is>
      </c>
      <c r="C68" t="inlineStr">
        <is>
          <t>0                      RM 0719000S  6</t>
        </is>
      </c>
      <c r="D68" t="inlineStr">
        <is>
          <t>Essentials of kinesiology; a laboratory manual [by] Dale W. Spence.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Spence, Dale W.</t>
        </is>
      </c>
      <c r="L68" t="inlineStr">
        <is>
          <t>Philadelphia, Lea &amp; Febiger, 1975.</t>
        </is>
      </c>
      <c r="M68" t="inlineStr">
        <is>
          <t>1975</t>
        </is>
      </c>
      <c r="O68" t="inlineStr">
        <is>
          <t>eng</t>
        </is>
      </c>
      <c r="P68" t="inlineStr">
        <is>
          <t>pau</t>
        </is>
      </c>
      <c r="Q68" t="inlineStr">
        <is>
          <t>Health education, physical education, and recreation series</t>
        </is>
      </c>
      <c r="R68" t="inlineStr">
        <is>
          <t xml:space="preserve">RM </t>
        </is>
      </c>
      <c r="S68" t="n">
        <v>3</v>
      </c>
      <c r="T68" t="n">
        <v>3</v>
      </c>
      <c r="U68" t="inlineStr">
        <is>
          <t>2008-07-23</t>
        </is>
      </c>
      <c r="V68" t="inlineStr">
        <is>
          <t>2008-07-23</t>
        </is>
      </c>
      <c r="W68" t="inlineStr">
        <is>
          <t>1993-03-18</t>
        </is>
      </c>
      <c r="X68" t="inlineStr">
        <is>
          <t>1993-03-18</t>
        </is>
      </c>
      <c r="Y68" t="n">
        <v>202</v>
      </c>
      <c r="Z68" t="n">
        <v>146</v>
      </c>
      <c r="AA68" t="n">
        <v>153</v>
      </c>
      <c r="AB68" t="n">
        <v>2</v>
      </c>
      <c r="AC68" t="n">
        <v>2</v>
      </c>
      <c r="AD68" t="n">
        <v>3</v>
      </c>
      <c r="AE68" t="n">
        <v>3</v>
      </c>
      <c r="AF68" t="n">
        <v>2</v>
      </c>
      <c r="AG68" t="n">
        <v>2</v>
      </c>
      <c r="AH68" t="n">
        <v>0</v>
      </c>
      <c r="AI68" t="n">
        <v>0</v>
      </c>
      <c r="AJ68" t="n">
        <v>1</v>
      </c>
      <c r="AK68" t="n">
        <v>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HYPERLINK("http://catalog.hathitrust.org/Record/001573280","HathiTrust Record")</f>
        <v/>
      </c>
      <c r="AS68">
        <f>HYPERLINK("https://creighton-primo.hosted.exlibrisgroup.com/primo-explore/search?tab=default_tab&amp;search_scope=EVERYTHING&amp;vid=01CRU&amp;lang=en_US&amp;offset=0&amp;query=any,contains,991003278539702656","Catalog Record")</f>
        <v/>
      </c>
      <c r="AT68">
        <f>HYPERLINK("http://www.worldcat.org/oclc/801646","WorldCat Record")</f>
        <v/>
      </c>
      <c r="AU68" t="inlineStr">
        <is>
          <t>1604488:eng</t>
        </is>
      </c>
      <c r="AV68" t="inlineStr">
        <is>
          <t>801646</t>
        </is>
      </c>
      <c r="AW68" t="inlineStr">
        <is>
          <t>991003278539702656</t>
        </is>
      </c>
      <c r="AX68" t="inlineStr">
        <is>
          <t>991003278539702656</t>
        </is>
      </c>
      <c r="AY68" t="inlineStr">
        <is>
          <t>2270061450002656</t>
        </is>
      </c>
      <c r="AZ68" t="inlineStr">
        <is>
          <t>BOOK</t>
        </is>
      </c>
      <c r="BB68" t="inlineStr">
        <is>
          <t>9780812104929</t>
        </is>
      </c>
      <c r="BC68" t="inlineStr">
        <is>
          <t>32285001575702</t>
        </is>
      </c>
      <c r="BD68" t="inlineStr">
        <is>
          <t>893441123</t>
        </is>
      </c>
    </row>
    <row r="69">
      <c r="A69" t="inlineStr">
        <is>
          <t>No</t>
        </is>
      </c>
      <c r="B69" t="inlineStr">
        <is>
          <t>RM723.A28 2007</t>
        </is>
      </c>
      <c r="C69" t="inlineStr">
        <is>
          <t>0                      RM 0723000A  28          2007</t>
        </is>
      </c>
      <c r="D69" t="inlineStr">
        <is>
          <t>Acupressure taping : the practice of acutaping for chronic pain and injuries / Hans-Ulrich Hecker and Kay Liebchen ; translated from the German by Katja Lueders and Rafael Lorenzo.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Hecker, Hans-Ulrich.</t>
        </is>
      </c>
      <c r="L69" t="inlineStr">
        <is>
          <t>Rochester, Vt. : Healing Arts Press, c2007.</t>
        </is>
      </c>
      <c r="M69" t="inlineStr">
        <is>
          <t>2007</t>
        </is>
      </c>
      <c r="O69" t="inlineStr">
        <is>
          <t>eng</t>
        </is>
      </c>
      <c r="P69" t="inlineStr">
        <is>
          <t>vtu</t>
        </is>
      </c>
      <c r="R69" t="inlineStr">
        <is>
          <t xml:space="preserve">RM </t>
        </is>
      </c>
      <c r="S69" t="n">
        <v>4</v>
      </c>
      <c r="T69" t="n">
        <v>4</v>
      </c>
      <c r="U69" t="inlineStr">
        <is>
          <t>2007-09-05</t>
        </is>
      </c>
      <c r="V69" t="inlineStr">
        <is>
          <t>2007-09-05</t>
        </is>
      </c>
      <c r="W69" t="inlineStr">
        <is>
          <t>2007-07-18</t>
        </is>
      </c>
      <c r="X69" t="inlineStr">
        <is>
          <t>2007-07-18</t>
        </is>
      </c>
      <c r="Y69" t="n">
        <v>307</v>
      </c>
      <c r="Z69" t="n">
        <v>278</v>
      </c>
      <c r="AA69" t="n">
        <v>293</v>
      </c>
      <c r="AB69" t="n">
        <v>4</v>
      </c>
      <c r="AC69" t="n">
        <v>4</v>
      </c>
      <c r="AD69" t="n">
        <v>3</v>
      </c>
      <c r="AE69" t="n">
        <v>3</v>
      </c>
      <c r="AF69" t="n">
        <v>1</v>
      </c>
      <c r="AG69" t="n">
        <v>1</v>
      </c>
      <c r="AH69" t="n">
        <v>0</v>
      </c>
      <c r="AI69" t="n">
        <v>0</v>
      </c>
      <c r="AJ69" t="n">
        <v>0</v>
      </c>
      <c r="AK69" t="n">
        <v>0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HYPERLINK("https://creighton-primo.hosted.exlibrisgroup.com/primo-explore/search?tab=default_tab&amp;search_scope=EVERYTHING&amp;vid=01CRU&amp;lang=en_US&amp;offset=0&amp;query=any,contains,991005096369702656","Catalog Record")</f>
        <v/>
      </c>
      <c r="AT69">
        <f>HYPERLINK("http://www.worldcat.org/oclc/76141218","WorldCat Record")</f>
        <v/>
      </c>
      <c r="AU69" t="inlineStr">
        <is>
          <t>62043633:eng</t>
        </is>
      </c>
      <c r="AV69" t="inlineStr">
        <is>
          <t>76141218</t>
        </is>
      </c>
      <c r="AW69" t="inlineStr">
        <is>
          <t>991005096369702656</t>
        </is>
      </c>
      <c r="AX69" t="inlineStr">
        <is>
          <t>991005096369702656</t>
        </is>
      </c>
      <c r="AY69" t="inlineStr">
        <is>
          <t>2264504940002656</t>
        </is>
      </c>
      <c r="AZ69" t="inlineStr">
        <is>
          <t>BOOK</t>
        </is>
      </c>
      <c r="BB69" t="inlineStr">
        <is>
          <t>9781594771484</t>
        </is>
      </c>
      <c r="BC69" t="inlineStr">
        <is>
          <t>32285005319966</t>
        </is>
      </c>
      <c r="BD69" t="inlineStr">
        <is>
          <t>893526888</t>
        </is>
      </c>
    </row>
    <row r="70">
      <c r="A70" t="inlineStr">
        <is>
          <t>No</t>
        </is>
      </c>
      <c r="B70" t="inlineStr">
        <is>
          <t>RM725 .C582 2009</t>
        </is>
      </c>
      <c r="C70" t="inlineStr">
        <is>
          <t>0                      RM 0725000C  582         2009</t>
        </is>
      </c>
      <c r="D70" t="inlineStr">
        <is>
          <t>Clinical exercise physiology / Jonathan K. Ehrman ... [et al.], editors.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Yes</t>
        </is>
      </c>
      <c r="J70" t="inlineStr">
        <is>
          <t>0</t>
        </is>
      </c>
      <c r="L70" t="inlineStr">
        <is>
          <t>Champaign, IL : Human Kinetics, c2009.</t>
        </is>
      </c>
      <c r="M70" t="inlineStr">
        <is>
          <t>2009</t>
        </is>
      </c>
      <c r="N70" t="inlineStr">
        <is>
          <t>2nd ed.</t>
        </is>
      </c>
      <c r="O70" t="inlineStr">
        <is>
          <t>eng</t>
        </is>
      </c>
      <c r="P70" t="inlineStr">
        <is>
          <t>ilu</t>
        </is>
      </c>
      <c r="R70" t="inlineStr">
        <is>
          <t xml:space="preserve">RM </t>
        </is>
      </c>
      <c r="S70" t="n">
        <v>1</v>
      </c>
      <c r="T70" t="n">
        <v>1</v>
      </c>
      <c r="U70" t="inlineStr">
        <is>
          <t>2009-03-16</t>
        </is>
      </c>
      <c r="V70" t="inlineStr">
        <is>
          <t>2009-03-16</t>
        </is>
      </c>
      <c r="W70" t="inlineStr">
        <is>
          <t>2009-03-16</t>
        </is>
      </c>
      <c r="X70" t="inlineStr">
        <is>
          <t>2009-03-16</t>
        </is>
      </c>
      <c r="Y70" t="n">
        <v>282</v>
      </c>
      <c r="Z70" t="n">
        <v>160</v>
      </c>
      <c r="AA70" t="n">
        <v>443</v>
      </c>
      <c r="AB70" t="n">
        <v>1</v>
      </c>
      <c r="AC70" t="n">
        <v>6</v>
      </c>
      <c r="AD70" t="n">
        <v>6</v>
      </c>
      <c r="AE70" t="n">
        <v>15</v>
      </c>
      <c r="AF70" t="n">
        <v>4</v>
      </c>
      <c r="AG70" t="n">
        <v>7</v>
      </c>
      <c r="AH70" t="n">
        <v>2</v>
      </c>
      <c r="AI70" t="n">
        <v>3</v>
      </c>
      <c r="AJ70" t="n">
        <v>3</v>
      </c>
      <c r="AK70" t="n">
        <v>5</v>
      </c>
      <c r="AL70" t="n">
        <v>0</v>
      </c>
      <c r="AM70" t="n">
        <v>4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HYPERLINK("https://creighton-primo.hosted.exlibrisgroup.com/primo-explore/search?tab=default_tab&amp;search_scope=EVERYTHING&amp;vid=01CRU&amp;lang=en_US&amp;offset=0&amp;query=any,contains,991005297019702656","Catalog Record")</f>
        <v/>
      </c>
      <c r="AT70">
        <f>HYPERLINK("http://www.worldcat.org/oclc/229430519","WorldCat Record")</f>
        <v/>
      </c>
      <c r="AU70" t="inlineStr">
        <is>
          <t>56880895:eng</t>
        </is>
      </c>
      <c r="AV70" t="inlineStr">
        <is>
          <t>229430519</t>
        </is>
      </c>
      <c r="AW70" t="inlineStr">
        <is>
          <t>991005297019702656</t>
        </is>
      </c>
      <c r="AX70" t="inlineStr">
        <is>
          <t>991005297019702656</t>
        </is>
      </c>
      <c r="AY70" t="inlineStr">
        <is>
          <t>2270853440002656</t>
        </is>
      </c>
      <c r="AZ70" t="inlineStr">
        <is>
          <t>BOOK</t>
        </is>
      </c>
      <c r="BB70" t="inlineStr">
        <is>
          <t>9780736065658</t>
        </is>
      </c>
      <c r="BC70" t="inlineStr">
        <is>
          <t>32285005509517</t>
        </is>
      </c>
      <c r="BD70" t="inlineStr">
        <is>
          <t>893437488</t>
        </is>
      </c>
    </row>
    <row r="71">
      <c r="A71" t="inlineStr">
        <is>
          <t>No</t>
        </is>
      </c>
      <c r="B71" t="inlineStr">
        <is>
          <t>RM725 .E9 1992</t>
        </is>
      </c>
      <c r="C71" t="inlineStr">
        <is>
          <t>0                      RM 0725000E  9           1992</t>
        </is>
      </c>
      <c r="D71" t="inlineStr">
        <is>
          <t>Exercise and disease / [edited by] Ronald R. Watson and Marianne Eisinger.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Boca Raton : CRC Press, c1992.</t>
        </is>
      </c>
      <c r="M71" t="inlineStr">
        <is>
          <t>1992</t>
        </is>
      </c>
      <c r="O71" t="inlineStr">
        <is>
          <t>eng</t>
        </is>
      </c>
      <c r="P71" t="inlineStr">
        <is>
          <t>flu</t>
        </is>
      </c>
      <c r="Q71" t="inlineStr">
        <is>
          <t>Nutrition in exercise and sport</t>
        </is>
      </c>
      <c r="R71" t="inlineStr">
        <is>
          <t xml:space="preserve">RM </t>
        </is>
      </c>
      <c r="S71" t="n">
        <v>23</v>
      </c>
      <c r="T71" t="n">
        <v>23</v>
      </c>
      <c r="U71" t="inlineStr">
        <is>
          <t>2005-11-19</t>
        </is>
      </c>
      <c r="V71" t="inlineStr">
        <is>
          <t>2005-11-19</t>
        </is>
      </c>
      <c r="W71" t="inlineStr">
        <is>
          <t>1993-02-09</t>
        </is>
      </c>
      <c r="X71" t="inlineStr">
        <is>
          <t>1993-02-09</t>
        </is>
      </c>
      <c r="Y71" t="n">
        <v>357</v>
      </c>
      <c r="Z71" t="n">
        <v>284</v>
      </c>
      <c r="AA71" t="n">
        <v>304</v>
      </c>
      <c r="AB71" t="n">
        <v>4</v>
      </c>
      <c r="AC71" t="n">
        <v>4</v>
      </c>
      <c r="AD71" t="n">
        <v>13</v>
      </c>
      <c r="AE71" t="n">
        <v>13</v>
      </c>
      <c r="AF71" t="n">
        <v>6</v>
      </c>
      <c r="AG71" t="n">
        <v>6</v>
      </c>
      <c r="AH71" t="n">
        <v>3</v>
      </c>
      <c r="AI71" t="n">
        <v>3</v>
      </c>
      <c r="AJ71" t="n">
        <v>5</v>
      </c>
      <c r="AK71" t="n">
        <v>5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HYPERLINK("https://creighton-primo.hosted.exlibrisgroup.com/primo-explore/search?tab=default_tab&amp;search_scope=EVERYTHING&amp;vid=01CRU&amp;lang=en_US&amp;offset=0&amp;query=any,contains,991001982679702656","Catalog Record")</f>
        <v/>
      </c>
      <c r="AT71">
        <f>HYPERLINK("http://www.worldcat.org/oclc/25164454","WorldCat Record")</f>
        <v/>
      </c>
      <c r="AU71" t="inlineStr">
        <is>
          <t>353411428:eng</t>
        </is>
      </c>
      <c r="AV71" t="inlineStr">
        <is>
          <t>25164454</t>
        </is>
      </c>
      <c r="AW71" t="inlineStr">
        <is>
          <t>991001982679702656</t>
        </is>
      </c>
      <c r="AX71" t="inlineStr">
        <is>
          <t>991001982679702656</t>
        </is>
      </c>
      <c r="AY71" t="inlineStr">
        <is>
          <t>2256956060002656</t>
        </is>
      </c>
      <c r="AZ71" t="inlineStr">
        <is>
          <t>BOOK</t>
        </is>
      </c>
      <c r="BB71" t="inlineStr">
        <is>
          <t>9780849379123</t>
        </is>
      </c>
      <c r="BC71" t="inlineStr">
        <is>
          <t>32285001495224</t>
        </is>
      </c>
      <c r="BD71" t="inlineStr">
        <is>
          <t>893414686</t>
        </is>
      </c>
    </row>
    <row r="72">
      <c r="A72" t="inlineStr">
        <is>
          <t>No</t>
        </is>
      </c>
      <c r="B72" t="inlineStr">
        <is>
          <t>RM725 .E915 1994</t>
        </is>
      </c>
      <c r="C72" t="inlineStr">
        <is>
          <t>0                      RM 0725000E  915         1994</t>
        </is>
      </c>
      <c r="D72" t="inlineStr">
        <is>
          <t>Exercise for prevention and treatment of illness / [edited by] Linn Goldberg, Diane L. Elliot.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Philadelphia : F.A. Davis, 1994.</t>
        </is>
      </c>
      <c r="M72" t="inlineStr">
        <is>
          <t>1994</t>
        </is>
      </c>
      <c r="O72" t="inlineStr">
        <is>
          <t>eng</t>
        </is>
      </c>
      <c r="P72" t="inlineStr">
        <is>
          <t>pau</t>
        </is>
      </c>
      <c r="R72" t="inlineStr">
        <is>
          <t xml:space="preserve">RM </t>
        </is>
      </c>
      <c r="S72" t="n">
        <v>22</v>
      </c>
      <c r="T72" t="n">
        <v>22</v>
      </c>
      <c r="U72" t="inlineStr">
        <is>
          <t>2001-09-21</t>
        </is>
      </c>
      <c r="V72" t="inlineStr">
        <is>
          <t>2001-09-21</t>
        </is>
      </c>
      <c r="W72" t="inlineStr">
        <is>
          <t>1995-05-15</t>
        </is>
      </c>
      <c r="X72" t="inlineStr">
        <is>
          <t>1995-05-15</t>
        </is>
      </c>
      <c r="Y72" t="n">
        <v>334</v>
      </c>
      <c r="Z72" t="n">
        <v>261</v>
      </c>
      <c r="AA72" t="n">
        <v>268</v>
      </c>
      <c r="AB72" t="n">
        <v>3</v>
      </c>
      <c r="AC72" t="n">
        <v>3</v>
      </c>
      <c r="AD72" t="n">
        <v>13</v>
      </c>
      <c r="AE72" t="n">
        <v>13</v>
      </c>
      <c r="AF72" t="n">
        <v>8</v>
      </c>
      <c r="AG72" t="n">
        <v>8</v>
      </c>
      <c r="AH72" t="n">
        <v>2</v>
      </c>
      <c r="AI72" t="n">
        <v>2</v>
      </c>
      <c r="AJ72" t="n">
        <v>6</v>
      </c>
      <c r="AK72" t="n">
        <v>6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HYPERLINK("http://catalog.hathitrust.org/Record/002808583","HathiTrust Record")</f>
        <v/>
      </c>
      <c r="AS72">
        <f>HYPERLINK("https://creighton-primo.hosted.exlibrisgroup.com/primo-explore/search?tab=default_tab&amp;search_scope=EVERYTHING&amp;vid=01CRU&amp;lang=en_US&amp;offset=0&amp;query=any,contains,991002280349702656","Catalog Record")</f>
        <v/>
      </c>
      <c r="AT72">
        <f>HYPERLINK("http://www.worldcat.org/oclc/29565000","WorldCat Record")</f>
        <v/>
      </c>
      <c r="AU72" t="inlineStr">
        <is>
          <t>31379672:eng</t>
        </is>
      </c>
      <c r="AV72" t="inlineStr">
        <is>
          <t>29565000</t>
        </is>
      </c>
      <c r="AW72" t="inlineStr">
        <is>
          <t>991002280349702656</t>
        </is>
      </c>
      <c r="AX72" t="inlineStr">
        <is>
          <t>991002280349702656</t>
        </is>
      </c>
      <c r="AY72" t="inlineStr">
        <is>
          <t>2255654440002656</t>
        </is>
      </c>
      <c r="AZ72" t="inlineStr">
        <is>
          <t>BOOK</t>
        </is>
      </c>
      <c r="BB72" t="inlineStr">
        <is>
          <t>9780803641631</t>
        </is>
      </c>
      <c r="BC72" t="inlineStr">
        <is>
          <t>32285002039625</t>
        </is>
      </c>
      <c r="BD72" t="inlineStr">
        <is>
          <t>893779631</t>
        </is>
      </c>
    </row>
    <row r="73">
      <c r="A73" t="inlineStr">
        <is>
          <t>No</t>
        </is>
      </c>
      <c r="B73" t="inlineStr">
        <is>
          <t>RM725 .G75 1998</t>
        </is>
      </c>
      <c r="C73" t="inlineStr">
        <is>
          <t>0                      RM 0725000G  75          1998</t>
        </is>
      </c>
      <c r="D73" t="inlineStr">
        <is>
          <t>Client-centered exercise prescription / John C. Griffin.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Griffin, John C.</t>
        </is>
      </c>
      <c r="L73" t="inlineStr">
        <is>
          <t>Champaign, IL : Human Kinetics, c1998.</t>
        </is>
      </c>
      <c r="M73" t="inlineStr">
        <is>
          <t>1998</t>
        </is>
      </c>
      <c r="O73" t="inlineStr">
        <is>
          <t>eng</t>
        </is>
      </c>
      <c r="P73" t="inlineStr">
        <is>
          <t>ilu</t>
        </is>
      </c>
      <c r="R73" t="inlineStr">
        <is>
          <t xml:space="preserve">RM </t>
        </is>
      </c>
      <c r="S73" t="n">
        <v>8</v>
      </c>
      <c r="T73" t="n">
        <v>8</v>
      </c>
      <c r="U73" t="inlineStr">
        <is>
          <t>2010-04-29</t>
        </is>
      </c>
      <c r="V73" t="inlineStr">
        <is>
          <t>2010-04-29</t>
        </is>
      </c>
      <c r="W73" t="inlineStr">
        <is>
          <t>2001-01-30</t>
        </is>
      </c>
      <c r="X73" t="inlineStr">
        <is>
          <t>2001-01-30</t>
        </is>
      </c>
      <c r="Y73" t="n">
        <v>437</v>
      </c>
      <c r="Z73" t="n">
        <v>352</v>
      </c>
      <c r="AA73" t="n">
        <v>523</v>
      </c>
      <c r="AB73" t="n">
        <v>2</v>
      </c>
      <c r="AC73" t="n">
        <v>2</v>
      </c>
      <c r="AD73" t="n">
        <v>10</v>
      </c>
      <c r="AE73" t="n">
        <v>14</v>
      </c>
      <c r="AF73" t="n">
        <v>5</v>
      </c>
      <c r="AG73" t="n">
        <v>8</v>
      </c>
      <c r="AH73" t="n">
        <v>4</v>
      </c>
      <c r="AI73" t="n">
        <v>4</v>
      </c>
      <c r="AJ73" t="n">
        <v>2</v>
      </c>
      <c r="AK73" t="n">
        <v>4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HYPERLINK("http://catalog.hathitrust.org/Record/004021204","HathiTrust Record")</f>
        <v/>
      </c>
      <c r="AS73">
        <f>HYPERLINK("https://creighton-primo.hosted.exlibrisgroup.com/primo-explore/search?tab=default_tab&amp;search_scope=EVERYTHING&amp;vid=01CRU&amp;lang=en_US&amp;offset=0&amp;query=any,contains,991003353279702656","Catalog Record")</f>
        <v/>
      </c>
      <c r="AT73">
        <f>HYPERLINK("http://www.worldcat.org/oclc/37947167","WorldCat Record")</f>
        <v/>
      </c>
      <c r="AU73" t="inlineStr">
        <is>
          <t>645125:eng</t>
        </is>
      </c>
      <c r="AV73" t="inlineStr">
        <is>
          <t>37947167</t>
        </is>
      </c>
      <c r="AW73" t="inlineStr">
        <is>
          <t>991003353279702656</t>
        </is>
      </c>
      <c r="AX73" t="inlineStr">
        <is>
          <t>991003353279702656</t>
        </is>
      </c>
      <c r="AY73" t="inlineStr">
        <is>
          <t>2268338750002656</t>
        </is>
      </c>
      <c r="AZ73" t="inlineStr">
        <is>
          <t>BOOK</t>
        </is>
      </c>
      <c r="BB73" t="inlineStr">
        <is>
          <t>9780880117074</t>
        </is>
      </c>
      <c r="BC73" t="inlineStr">
        <is>
          <t>32285004292602</t>
        </is>
      </c>
      <c r="BD73" t="inlineStr">
        <is>
          <t>893441210</t>
        </is>
      </c>
    </row>
    <row r="74">
      <c r="A74" t="inlineStr">
        <is>
          <t>No</t>
        </is>
      </c>
      <c r="B74" t="inlineStr">
        <is>
          <t>RM725 .L5 1978</t>
        </is>
      </c>
      <c r="C74" t="inlineStr">
        <is>
          <t>0                      RM 0725000L  5           1978</t>
        </is>
      </c>
      <c r="D74" t="inlineStr">
        <is>
          <t>Therapeutic exercise / edited by John V. Basmajian.</t>
        </is>
      </c>
      <c r="F74" t="inlineStr">
        <is>
          <t>No</t>
        </is>
      </c>
      <c r="G74" t="inlineStr">
        <is>
          <t>1</t>
        </is>
      </c>
      <c r="H74" t="inlineStr">
        <is>
          <t>Yes</t>
        </is>
      </c>
      <c r="I74" t="inlineStr">
        <is>
          <t>No</t>
        </is>
      </c>
      <c r="J74" t="inlineStr">
        <is>
          <t>0</t>
        </is>
      </c>
      <c r="L74" t="inlineStr">
        <is>
          <t>Baltimore : Williams &amp; Wilkins, c1978, 1982 printing.</t>
        </is>
      </c>
      <c r="M74" t="inlineStr">
        <is>
          <t>1978</t>
        </is>
      </c>
      <c r="N74" t="inlineStr">
        <is>
          <t>3d ed.</t>
        </is>
      </c>
      <c r="O74" t="inlineStr">
        <is>
          <t>eng</t>
        </is>
      </c>
      <c r="P74" t="inlineStr">
        <is>
          <t>mdu</t>
        </is>
      </c>
      <c r="Q74" t="inlineStr">
        <is>
          <t>Rehabilitation medicine library</t>
        </is>
      </c>
      <c r="R74" t="inlineStr">
        <is>
          <t xml:space="preserve">RM </t>
        </is>
      </c>
      <c r="S74" t="n">
        <v>6</v>
      </c>
      <c r="T74" t="n">
        <v>8</v>
      </c>
      <c r="U74" t="inlineStr">
        <is>
          <t>1993-03-16</t>
        </is>
      </c>
      <c r="V74" t="inlineStr">
        <is>
          <t>1993-03-16</t>
        </is>
      </c>
      <c r="W74" t="inlineStr">
        <is>
          <t>1992-02-19</t>
        </is>
      </c>
      <c r="X74" t="inlineStr">
        <is>
          <t>1992-02-19</t>
        </is>
      </c>
      <c r="Y74" t="n">
        <v>312</v>
      </c>
      <c r="Z74" t="n">
        <v>250</v>
      </c>
      <c r="AA74" t="n">
        <v>527</v>
      </c>
      <c r="AB74" t="n">
        <v>4</v>
      </c>
      <c r="AC74" t="n">
        <v>9</v>
      </c>
      <c r="AD74" t="n">
        <v>9</v>
      </c>
      <c r="AE74" t="n">
        <v>17</v>
      </c>
      <c r="AF74" t="n">
        <v>5</v>
      </c>
      <c r="AG74" t="n">
        <v>6</v>
      </c>
      <c r="AH74" t="n">
        <v>2</v>
      </c>
      <c r="AI74" t="n">
        <v>4</v>
      </c>
      <c r="AJ74" t="n">
        <v>6</v>
      </c>
      <c r="AK74" t="n">
        <v>6</v>
      </c>
      <c r="AL74" t="n">
        <v>1</v>
      </c>
      <c r="AM74" t="n">
        <v>6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HYPERLINK("http://catalog.hathitrust.org/Record/000294714","HathiTrust Record")</f>
        <v/>
      </c>
      <c r="AS74">
        <f>HYPERLINK("https://creighton-primo.hosted.exlibrisgroup.com/primo-explore/search?tab=default_tab&amp;search_scope=EVERYTHING&amp;vid=01CRU&amp;lang=en_US&amp;offset=0&amp;query=any,contains,991001779839702656","Catalog Record")</f>
        <v/>
      </c>
      <c r="AT74">
        <f>HYPERLINK("http://www.worldcat.org/oclc/3203260","WorldCat Record")</f>
        <v/>
      </c>
      <c r="AU74" t="inlineStr">
        <is>
          <t>54177767:eng</t>
        </is>
      </c>
      <c r="AV74" t="inlineStr">
        <is>
          <t>3203260</t>
        </is>
      </c>
      <c r="AW74" t="inlineStr">
        <is>
          <t>991001779839702656</t>
        </is>
      </c>
      <c r="AX74" t="inlineStr">
        <is>
          <t>991001779839702656</t>
        </is>
      </c>
      <c r="AY74" t="inlineStr">
        <is>
          <t>2268825400002656</t>
        </is>
      </c>
      <c r="AZ74" t="inlineStr">
        <is>
          <t>BOOK</t>
        </is>
      </c>
      <c r="BB74" t="inlineStr">
        <is>
          <t>9780683004335</t>
        </is>
      </c>
      <c r="BC74" t="inlineStr">
        <is>
          <t>32285000981828</t>
        </is>
      </c>
      <c r="BD74" t="inlineStr">
        <is>
          <t>893334598</t>
        </is>
      </c>
    </row>
    <row r="75">
      <c r="A75" t="inlineStr">
        <is>
          <t>No</t>
        </is>
      </c>
      <c r="B75" t="inlineStr">
        <is>
          <t>RM725 .L583 2007</t>
        </is>
      </c>
      <c r="C75" t="inlineStr">
        <is>
          <t>0                      RM 0725000L  583         2007</t>
        </is>
      </c>
      <c r="D75" t="inlineStr">
        <is>
          <t>The body mind soul solution : healing emotional pain through exercise / Bob Livingstone.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Livingstone, Bob.</t>
        </is>
      </c>
      <c r="L75" t="inlineStr">
        <is>
          <t>New York : Pegasus Books, 2007.</t>
        </is>
      </c>
      <c r="M75" t="inlineStr">
        <is>
          <t>2007</t>
        </is>
      </c>
      <c r="N75" t="inlineStr">
        <is>
          <t>1st Pegasus Books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RM </t>
        </is>
      </c>
      <c r="S75" t="n">
        <v>4</v>
      </c>
      <c r="T75" t="n">
        <v>4</v>
      </c>
      <c r="U75" t="inlineStr">
        <is>
          <t>2008-10-07</t>
        </is>
      </c>
      <c r="V75" t="inlineStr">
        <is>
          <t>2008-10-07</t>
        </is>
      </c>
      <c r="W75" t="inlineStr">
        <is>
          <t>2008-06-26</t>
        </is>
      </c>
      <c r="X75" t="inlineStr">
        <is>
          <t>2008-06-26</t>
        </is>
      </c>
      <c r="Y75" t="n">
        <v>358</v>
      </c>
      <c r="Z75" t="n">
        <v>347</v>
      </c>
      <c r="AA75" t="n">
        <v>355</v>
      </c>
      <c r="AB75" t="n">
        <v>4</v>
      </c>
      <c r="AC75" t="n">
        <v>4</v>
      </c>
      <c r="AD75" t="n">
        <v>3</v>
      </c>
      <c r="AE75" t="n">
        <v>3</v>
      </c>
      <c r="AF75" t="n">
        <v>0</v>
      </c>
      <c r="AG75" t="n">
        <v>0</v>
      </c>
      <c r="AH75" t="n">
        <v>2</v>
      </c>
      <c r="AI75" t="n">
        <v>2</v>
      </c>
      <c r="AJ75" t="n">
        <v>1</v>
      </c>
      <c r="AK75" t="n">
        <v>1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HYPERLINK("https://creighton-primo.hosted.exlibrisgroup.com/primo-explore/search?tab=default_tab&amp;search_scope=EVERYTHING&amp;vid=01CRU&amp;lang=en_US&amp;offset=0&amp;query=any,contains,991005220179702656","Catalog Record")</f>
        <v/>
      </c>
      <c r="AT75">
        <f>HYPERLINK("http://www.worldcat.org/oclc/173275302","WorldCat Record")</f>
        <v/>
      </c>
      <c r="AU75" t="inlineStr">
        <is>
          <t>4710742255:eng</t>
        </is>
      </c>
      <c r="AV75" t="inlineStr">
        <is>
          <t>173275302</t>
        </is>
      </c>
      <c r="AW75" t="inlineStr">
        <is>
          <t>991005220179702656</t>
        </is>
      </c>
      <c r="AX75" t="inlineStr">
        <is>
          <t>991005220179702656</t>
        </is>
      </c>
      <c r="AY75" t="inlineStr">
        <is>
          <t>2256249200002656</t>
        </is>
      </c>
      <c r="AZ75" t="inlineStr">
        <is>
          <t>BOOK</t>
        </is>
      </c>
      <c r="BB75" t="inlineStr">
        <is>
          <t>9781933648545</t>
        </is>
      </c>
      <c r="BC75" t="inlineStr">
        <is>
          <t>32285005446934</t>
        </is>
      </c>
      <c r="BD75" t="inlineStr">
        <is>
          <t>893777045</t>
        </is>
      </c>
    </row>
    <row r="76">
      <c r="A76" t="inlineStr">
        <is>
          <t>No</t>
        </is>
      </c>
      <c r="B76" t="inlineStr">
        <is>
          <t>RM725 .P64 1990</t>
        </is>
      </c>
      <c r="C76" t="inlineStr">
        <is>
          <t>0                      RM 0725000P  64          1990</t>
        </is>
      </c>
      <c r="D76" t="inlineStr">
        <is>
          <t>Exercise in health and disease : evaluation and prescription for prevention and rehabilitation / Michael L. Pollock, Jack H. Wilmore.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Pollock, Michael L.</t>
        </is>
      </c>
      <c r="L76" t="inlineStr">
        <is>
          <t>Philadelphia : W.B. Saunders, 1990.</t>
        </is>
      </c>
      <c r="M76" t="inlineStr">
        <is>
          <t>1990</t>
        </is>
      </c>
      <c r="N76" t="inlineStr">
        <is>
          <t>2nd ed.</t>
        </is>
      </c>
      <c r="O76" t="inlineStr">
        <is>
          <t>eng</t>
        </is>
      </c>
      <c r="P76" t="inlineStr">
        <is>
          <t>pau</t>
        </is>
      </c>
      <c r="R76" t="inlineStr">
        <is>
          <t xml:space="preserve">RM </t>
        </is>
      </c>
      <c r="S76" t="n">
        <v>13</v>
      </c>
      <c r="T76" t="n">
        <v>13</v>
      </c>
      <c r="U76" t="inlineStr">
        <is>
          <t>2000-05-05</t>
        </is>
      </c>
      <c r="V76" t="inlineStr">
        <is>
          <t>2000-05-05</t>
        </is>
      </c>
      <c r="W76" t="inlineStr">
        <is>
          <t>1991-05-08</t>
        </is>
      </c>
      <c r="X76" t="inlineStr">
        <is>
          <t>1991-05-08</t>
        </is>
      </c>
      <c r="Y76" t="n">
        <v>395</v>
      </c>
      <c r="Z76" t="n">
        <v>320</v>
      </c>
      <c r="AA76" t="n">
        <v>501</v>
      </c>
      <c r="AB76" t="n">
        <v>2</v>
      </c>
      <c r="AC76" t="n">
        <v>3</v>
      </c>
      <c r="AD76" t="n">
        <v>11</v>
      </c>
      <c r="AE76" t="n">
        <v>15</v>
      </c>
      <c r="AF76" t="n">
        <v>4</v>
      </c>
      <c r="AG76" t="n">
        <v>7</v>
      </c>
      <c r="AH76" t="n">
        <v>3</v>
      </c>
      <c r="AI76" t="n">
        <v>3</v>
      </c>
      <c r="AJ76" t="n">
        <v>5</v>
      </c>
      <c r="AK76" t="n">
        <v>5</v>
      </c>
      <c r="AL76" t="n">
        <v>1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HYPERLINK("http://catalog.hathitrust.org/Record/001944867","HathiTrust Record")</f>
        <v/>
      </c>
      <c r="AS76">
        <f>HYPERLINK("https://creighton-primo.hosted.exlibrisgroup.com/primo-explore/search?tab=default_tab&amp;search_scope=EVERYTHING&amp;vid=01CRU&amp;lang=en_US&amp;offset=0&amp;query=any,contains,991001537539702656","Catalog Record")</f>
        <v/>
      </c>
      <c r="AT76">
        <f>HYPERLINK("http://www.worldcat.org/oclc/20092898","WorldCat Record")</f>
        <v/>
      </c>
      <c r="AU76" t="inlineStr">
        <is>
          <t>2706735:eng</t>
        </is>
      </c>
      <c r="AV76" t="inlineStr">
        <is>
          <t>20092898</t>
        </is>
      </c>
      <c r="AW76" t="inlineStr">
        <is>
          <t>991001537539702656</t>
        </is>
      </c>
      <c r="AX76" t="inlineStr">
        <is>
          <t>991001537539702656</t>
        </is>
      </c>
      <c r="AY76" t="inlineStr">
        <is>
          <t>2254722780002656</t>
        </is>
      </c>
      <c r="AZ76" t="inlineStr">
        <is>
          <t>BOOK</t>
        </is>
      </c>
      <c r="BB76" t="inlineStr">
        <is>
          <t>9780721629483</t>
        </is>
      </c>
      <c r="BC76" t="inlineStr">
        <is>
          <t>32285000571850</t>
        </is>
      </c>
      <c r="BD76" t="inlineStr">
        <is>
          <t>893885347</t>
        </is>
      </c>
    </row>
    <row r="77">
      <c r="A77" t="inlineStr">
        <is>
          <t>No</t>
        </is>
      </c>
      <c r="B77" t="inlineStr">
        <is>
          <t>RM725 .R395 2001</t>
        </is>
      </c>
      <c r="C77" t="inlineStr">
        <is>
          <t>0                      RM 0725000R  395         2001</t>
        </is>
      </c>
      <c r="D77" t="inlineStr">
        <is>
          <t>Resistance training for health and rehabilitation / James E. Graves, Barry A. Franklin, editors.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L77" t="inlineStr">
        <is>
          <t>Champaign, IL : Human Kinetics, 2001.</t>
        </is>
      </c>
      <c r="M77" t="inlineStr">
        <is>
          <t>2001</t>
        </is>
      </c>
      <c r="O77" t="inlineStr">
        <is>
          <t>eng</t>
        </is>
      </c>
      <c r="P77" t="inlineStr">
        <is>
          <t>ilu</t>
        </is>
      </c>
      <c r="R77" t="inlineStr">
        <is>
          <t xml:space="preserve">RM </t>
        </is>
      </c>
      <c r="S77" t="n">
        <v>2</v>
      </c>
      <c r="T77" t="n">
        <v>2</v>
      </c>
      <c r="U77" t="inlineStr">
        <is>
          <t>2002-01-29</t>
        </is>
      </c>
      <c r="V77" t="inlineStr">
        <is>
          <t>2002-01-29</t>
        </is>
      </c>
      <c r="W77" t="inlineStr">
        <is>
          <t>2002-01-29</t>
        </is>
      </c>
      <c r="X77" t="inlineStr">
        <is>
          <t>2002-01-29</t>
        </is>
      </c>
      <c r="Y77" t="n">
        <v>331</v>
      </c>
      <c r="Z77" t="n">
        <v>245</v>
      </c>
      <c r="AA77" t="n">
        <v>251</v>
      </c>
      <c r="AB77" t="n">
        <v>4</v>
      </c>
      <c r="AC77" t="n">
        <v>4</v>
      </c>
      <c r="AD77" t="n">
        <v>11</v>
      </c>
      <c r="AE77" t="n">
        <v>11</v>
      </c>
      <c r="AF77" t="n">
        <v>6</v>
      </c>
      <c r="AG77" t="n">
        <v>6</v>
      </c>
      <c r="AH77" t="n">
        <v>2</v>
      </c>
      <c r="AI77" t="n">
        <v>2</v>
      </c>
      <c r="AJ77" t="n">
        <v>4</v>
      </c>
      <c r="AK77" t="n">
        <v>4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HYPERLINK("http://catalog.hathitrust.org/Record/004244866","HathiTrust Record")</f>
        <v/>
      </c>
      <c r="AS77">
        <f>HYPERLINK("https://creighton-primo.hosted.exlibrisgroup.com/primo-explore/search?tab=default_tab&amp;search_scope=EVERYTHING&amp;vid=01CRU&amp;lang=en_US&amp;offset=0&amp;query=any,contains,991003692689702656","Catalog Record")</f>
        <v/>
      </c>
      <c r="AT77">
        <f>HYPERLINK("http://www.worldcat.org/oclc/46660577","WorldCat Record")</f>
        <v/>
      </c>
      <c r="AU77" t="inlineStr">
        <is>
          <t>35748166:eng</t>
        </is>
      </c>
      <c r="AV77" t="inlineStr">
        <is>
          <t>46660577</t>
        </is>
      </c>
      <c r="AW77" t="inlineStr">
        <is>
          <t>991003692689702656</t>
        </is>
      </c>
      <c r="AX77" t="inlineStr">
        <is>
          <t>991003692689702656</t>
        </is>
      </c>
      <c r="AY77" t="inlineStr">
        <is>
          <t>2260542440002656</t>
        </is>
      </c>
      <c r="AZ77" t="inlineStr">
        <is>
          <t>BOOK</t>
        </is>
      </c>
      <c r="BB77" t="inlineStr">
        <is>
          <t>9780736001786</t>
        </is>
      </c>
      <c r="BC77" t="inlineStr">
        <is>
          <t>32285004451117</t>
        </is>
      </c>
      <c r="BD77" t="inlineStr">
        <is>
          <t>893512248</t>
        </is>
      </c>
    </row>
    <row r="78">
      <c r="A78" t="inlineStr">
        <is>
          <t>No</t>
        </is>
      </c>
      <c r="B78" t="inlineStr">
        <is>
          <t>RM725 .R55 1994</t>
        </is>
      </c>
      <c r="C78" t="inlineStr">
        <is>
          <t>0                      RM 0725000R  55          1994</t>
        </is>
      </c>
      <c r="D78" t="inlineStr">
        <is>
          <t>Fitness and rehabilitation programs for special populations / James H. Rimmer.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Rimmer, James H.</t>
        </is>
      </c>
      <c r="L78" t="inlineStr">
        <is>
          <t>Madison, Wis. : WCB Brown &amp; Benchmark Publishers, c1994.</t>
        </is>
      </c>
      <c r="M78" t="inlineStr">
        <is>
          <t>1994</t>
        </is>
      </c>
      <c r="O78" t="inlineStr">
        <is>
          <t>eng</t>
        </is>
      </c>
      <c r="P78" t="inlineStr">
        <is>
          <t>wiu</t>
        </is>
      </c>
      <c r="R78" t="inlineStr">
        <is>
          <t xml:space="preserve">RM </t>
        </is>
      </c>
      <c r="S78" t="n">
        <v>18</v>
      </c>
      <c r="T78" t="n">
        <v>18</v>
      </c>
      <c r="U78" t="inlineStr">
        <is>
          <t>2009-03-03</t>
        </is>
      </c>
      <c r="V78" t="inlineStr">
        <is>
          <t>2009-03-03</t>
        </is>
      </c>
      <c r="W78" t="inlineStr">
        <is>
          <t>1994-05-26</t>
        </is>
      </c>
      <c r="X78" t="inlineStr">
        <is>
          <t>1994-05-26</t>
        </is>
      </c>
      <c r="Y78" t="n">
        <v>201</v>
      </c>
      <c r="Z78" t="n">
        <v>144</v>
      </c>
      <c r="AA78" t="n">
        <v>145</v>
      </c>
      <c r="AB78" t="n">
        <v>4</v>
      </c>
      <c r="AC78" t="n">
        <v>4</v>
      </c>
      <c r="AD78" t="n">
        <v>7</v>
      </c>
      <c r="AE78" t="n">
        <v>7</v>
      </c>
      <c r="AF78" t="n">
        <v>3</v>
      </c>
      <c r="AG78" t="n">
        <v>3</v>
      </c>
      <c r="AH78" t="n">
        <v>0</v>
      </c>
      <c r="AI78" t="n">
        <v>0</v>
      </c>
      <c r="AJ78" t="n">
        <v>3</v>
      </c>
      <c r="AK78" t="n">
        <v>3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HYPERLINK("http://catalog.hathitrust.org/Record/101973305","HathiTrust Record")</f>
        <v/>
      </c>
      <c r="AS78">
        <f>HYPERLINK("https://creighton-primo.hosted.exlibrisgroup.com/primo-explore/search?tab=default_tab&amp;search_scope=EVERYTHING&amp;vid=01CRU&amp;lang=en_US&amp;offset=0&amp;query=any,contains,991002290259702656","Catalog Record")</f>
        <v/>
      </c>
      <c r="AT78">
        <f>HYPERLINK("http://www.worldcat.org/oclc/29676604","WorldCat Record")</f>
        <v/>
      </c>
      <c r="AU78" t="inlineStr">
        <is>
          <t>14463061:eng</t>
        </is>
      </c>
      <c r="AV78" t="inlineStr">
        <is>
          <t>29676604</t>
        </is>
      </c>
      <c r="AW78" t="inlineStr">
        <is>
          <t>991002290259702656</t>
        </is>
      </c>
      <c r="AX78" t="inlineStr">
        <is>
          <t>991002290259702656</t>
        </is>
      </c>
      <c r="AY78" t="inlineStr">
        <is>
          <t>2267418530002656</t>
        </is>
      </c>
      <c r="AZ78" t="inlineStr">
        <is>
          <t>BOOK</t>
        </is>
      </c>
      <c r="BB78" t="inlineStr">
        <is>
          <t>9780697116192</t>
        </is>
      </c>
      <c r="BC78" t="inlineStr">
        <is>
          <t>32285001898864</t>
        </is>
      </c>
      <c r="BD78" t="inlineStr">
        <is>
          <t>893408927</t>
        </is>
      </c>
    </row>
    <row r="79">
      <c r="A79" t="inlineStr">
        <is>
          <t>No</t>
        </is>
      </c>
      <c r="B79" t="inlineStr">
        <is>
          <t>RM725.I76 D85 1995</t>
        </is>
      </c>
      <c r="C79" t="inlineStr">
        <is>
          <t>0                      RM 0725000I  76                 D  85          1995</t>
        </is>
      </c>
      <c r="D79" t="inlineStr">
        <is>
          <t>Isokinetics : muscle testing, interpretation, and clinical applications / Zeevi Dvir.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Yes</t>
        </is>
      </c>
      <c r="J79" t="inlineStr">
        <is>
          <t>0</t>
        </is>
      </c>
      <c r="K79" t="inlineStr">
        <is>
          <t>Dvir, Zeevi.</t>
        </is>
      </c>
      <c r="L79" t="inlineStr">
        <is>
          <t>Edinburgh ; New York : Churchill Livingstone, 1995.</t>
        </is>
      </c>
      <c r="M79" t="inlineStr">
        <is>
          <t>1995</t>
        </is>
      </c>
      <c r="O79" t="inlineStr">
        <is>
          <t>eng</t>
        </is>
      </c>
      <c r="P79" t="inlineStr">
        <is>
          <t>enk</t>
        </is>
      </c>
      <c r="R79" t="inlineStr">
        <is>
          <t xml:space="preserve">RM </t>
        </is>
      </c>
      <c r="S79" t="n">
        <v>7</v>
      </c>
      <c r="T79" t="n">
        <v>7</v>
      </c>
      <c r="U79" t="inlineStr">
        <is>
          <t>2000-09-15</t>
        </is>
      </c>
      <c r="V79" t="inlineStr">
        <is>
          <t>2000-09-15</t>
        </is>
      </c>
      <c r="W79" t="inlineStr">
        <is>
          <t>1995-05-01</t>
        </is>
      </c>
      <c r="X79" t="inlineStr">
        <is>
          <t>1995-05-01</t>
        </is>
      </c>
      <c r="Y79" t="n">
        <v>123</v>
      </c>
      <c r="Z79" t="n">
        <v>102</v>
      </c>
      <c r="AA79" t="n">
        <v>201</v>
      </c>
      <c r="AB79" t="n">
        <v>1</v>
      </c>
      <c r="AC79" t="n">
        <v>2</v>
      </c>
      <c r="AD79" t="n">
        <v>3</v>
      </c>
      <c r="AE79" t="n">
        <v>8</v>
      </c>
      <c r="AF79" t="n">
        <v>2</v>
      </c>
      <c r="AG79" t="n">
        <v>4</v>
      </c>
      <c r="AH79" t="n">
        <v>0</v>
      </c>
      <c r="AI79" t="n">
        <v>2</v>
      </c>
      <c r="AJ79" t="n">
        <v>1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HYPERLINK("http://catalog.hathitrust.org/Record/002964739","HathiTrust Record")</f>
        <v/>
      </c>
      <c r="AS79">
        <f>HYPERLINK("https://creighton-primo.hosted.exlibrisgroup.com/primo-explore/search?tab=default_tab&amp;search_scope=EVERYTHING&amp;vid=01CRU&amp;lang=en_US&amp;offset=0&amp;query=any,contains,991002344379702656","Catalog Record")</f>
        <v/>
      </c>
      <c r="AT79">
        <f>HYPERLINK("http://www.worldcat.org/oclc/30518282","WorldCat Record")</f>
        <v/>
      </c>
      <c r="AU79" t="inlineStr">
        <is>
          <t>701061:eng</t>
        </is>
      </c>
      <c r="AV79" t="inlineStr">
        <is>
          <t>30518282</t>
        </is>
      </c>
      <c r="AW79" t="inlineStr">
        <is>
          <t>991002344379702656</t>
        </is>
      </c>
      <c r="AX79" t="inlineStr">
        <is>
          <t>991002344379702656</t>
        </is>
      </c>
      <c r="AY79" t="inlineStr">
        <is>
          <t>2267161850002656</t>
        </is>
      </c>
      <c r="AZ79" t="inlineStr">
        <is>
          <t>BOOK</t>
        </is>
      </c>
      <c r="BB79" t="inlineStr">
        <is>
          <t>9780443047947</t>
        </is>
      </c>
      <c r="BC79" t="inlineStr">
        <is>
          <t>32285002037066</t>
        </is>
      </c>
      <c r="BD79" t="inlineStr">
        <is>
          <t>893529853</t>
        </is>
      </c>
    </row>
    <row r="80">
      <c r="A80" t="inlineStr">
        <is>
          <t>No</t>
        </is>
      </c>
      <c r="B80" t="inlineStr">
        <is>
          <t>RM727.H8 A68 1987</t>
        </is>
      </c>
      <c r="C80" t="inlineStr">
        <is>
          <t>0                      RM 0727000H  8                  A  68          1987</t>
        </is>
      </c>
      <c r="D80" t="inlineStr">
        <is>
          <t>Aquatics for special populations / YMCA of the USA.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Champaign, IL : Published for the YMCA of the USA by Human Kinetics Publishers : Book may be purchased from the YMCA Program Store, c1987.</t>
        </is>
      </c>
      <c r="M80" t="inlineStr">
        <is>
          <t>1987</t>
        </is>
      </c>
      <c r="O80" t="inlineStr">
        <is>
          <t>eng</t>
        </is>
      </c>
      <c r="P80" t="inlineStr">
        <is>
          <t>ilu</t>
        </is>
      </c>
      <c r="R80" t="inlineStr">
        <is>
          <t xml:space="preserve">RM </t>
        </is>
      </c>
      <c r="S80" t="n">
        <v>5</v>
      </c>
      <c r="T80" t="n">
        <v>5</v>
      </c>
      <c r="U80" t="inlineStr">
        <is>
          <t>2000-01-24</t>
        </is>
      </c>
      <c r="V80" t="inlineStr">
        <is>
          <t>2000-01-24</t>
        </is>
      </c>
      <c r="W80" t="inlineStr">
        <is>
          <t>1993-03-04</t>
        </is>
      </c>
      <c r="X80" t="inlineStr">
        <is>
          <t>1993-03-04</t>
        </is>
      </c>
      <c r="Y80" t="n">
        <v>255</v>
      </c>
      <c r="Z80" t="n">
        <v>210</v>
      </c>
      <c r="AA80" t="n">
        <v>211</v>
      </c>
      <c r="AB80" t="n">
        <v>4</v>
      </c>
      <c r="AC80" t="n">
        <v>4</v>
      </c>
      <c r="AD80" t="n">
        <v>6</v>
      </c>
      <c r="AE80" t="n">
        <v>6</v>
      </c>
      <c r="AF80" t="n">
        <v>3</v>
      </c>
      <c r="AG80" t="n">
        <v>3</v>
      </c>
      <c r="AH80" t="n">
        <v>0</v>
      </c>
      <c r="AI80" t="n">
        <v>0</v>
      </c>
      <c r="AJ80" t="n">
        <v>0</v>
      </c>
      <c r="AK80" t="n">
        <v>0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HYPERLINK("http://catalog.hathitrust.org/Record/101877530","HathiTrust Record")</f>
        <v/>
      </c>
      <c r="AS80">
        <f>HYPERLINK("https://creighton-primo.hosted.exlibrisgroup.com/primo-explore/search?tab=default_tab&amp;search_scope=EVERYTHING&amp;vid=01CRU&amp;lang=en_US&amp;offset=0&amp;query=any,contains,991000971549702656","Catalog Record")</f>
        <v/>
      </c>
      <c r="AT80">
        <f>HYPERLINK("http://www.worldcat.org/oclc/14964443","WorldCat Record")</f>
        <v/>
      </c>
      <c r="AU80" t="inlineStr">
        <is>
          <t>8477432:eng</t>
        </is>
      </c>
      <c r="AV80" t="inlineStr">
        <is>
          <t>14964443</t>
        </is>
      </c>
      <c r="AW80" t="inlineStr">
        <is>
          <t>991000971549702656</t>
        </is>
      </c>
      <c r="AX80" t="inlineStr">
        <is>
          <t>991000971549702656</t>
        </is>
      </c>
      <c r="AY80" t="inlineStr">
        <is>
          <t>2266650130002656</t>
        </is>
      </c>
      <c r="AZ80" t="inlineStr">
        <is>
          <t>BOOK</t>
        </is>
      </c>
      <c r="BB80" t="inlineStr">
        <is>
          <t>9780873220972</t>
        </is>
      </c>
      <c r="BC80" t="inlineStr">
        <is>
          <t>32285001529980</t>
        </is>
      </c>
      <c r="BD80" t="inlineStr">
        <is>
          <t>893791045</t>
        </is>
      </c>
    </row>
    <row r="81">
      <c r="A81" t="inlineStr">
        <is>
          <t>No</t>
        </is>
      </c>
      <c r="B81" t="inlineStr">
        <is>
          <t>RM727.I76 P47 1993</t>
        </is>
      </c>
      <c r="C81" t="inlineStr">
        <is>
          <t>0                      RM 0727000I  76                 P  47          1993</t>
        </is>
      </c>
      <c r="D81" t="inlineStr">
        <is>
          <t>Isokinetic exercise and assessment / David H. Perrin.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Perrin, David H., 1954-</t>
        </is>
      </c>
      <c r="L81" t="inlineStr">
        <is>
          <t>Champaign, IL : Human Kinetics Publishers, c1993.</t>
        </is>
      </c>
      <c r="M81" t="inlineStr">
        <is>
          <t>1993</t>
        </is>
      </c>
      <c r="O81" t="inlineStr">
        <is>
          <t>eng</t>
        </is>
      </c>
      <c r="P81" t="inlineStr">
        <is>
          <t>ilu</t>
        </is>
      </c>
      <c r="R81" t="inlineStr">
        <is>
          <t xml:space="preserve">RM </t>
        </is>
      </c>
      <c r="S81" t="n">
        <v>1</v>
      </c>
      <c r="T81" t="n">
        <v>1</v>
      </c>
      <c r="U81" t="inlineStr">
        <is>
          <t>2000-09-15</t>
        </is>
      </c>
      <c r="V81" t="inlineStr">
        <is>
          <t>2000-09-15</t>
        </is>
      </c>
      <c r="W81" t="inlineStr">
        <is>
          <t>2000-04-11</t>
        </is>
      </c>
      <c r="X81" t="inlineStr">
        <is>
          <t>2000-04-11</t>
        </is>
      </c>
      <c r="Y81" t="n">
        <v>513</v>
      </c>
      <c r="Z81" t="n">
        <v>404</v>
      </c>
      <c r="AA81" t="n">
        <v>410</v>
      </c>
      <c r="AB81" t="n">
        <v>5</v>
      </c>
      <c r="AC81" t="n">
        <v>5</v>
      </c>
      <c r="AD81" t="n">
        <v>15</v>
      </c>
      <c r="AE81" t="n">
        <v>15</v>
      </c>
      <c r="AF81" t="n">
        <v>7</v>
      </c>
      <c r="AG81" t="n">
        <v>7</v>
      </c>
      <c r="AH81" t="n">
        <v>3</v>
      </c>
      <c r="AI81" t="n">
        <v>3</v>
      </c>
      <c r="AJ81" t="n">
        <v>4</v>
      </c>
      <c r="AK81" t="n">
        <v>4</v>
      </c>
      <c r="AL81" t="n">
        <v>4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HYPERLINK("http://catalog.hathitrust.org/Record/002737977","HathiTrust Record")</f>
        <v/>
      </c>
      <c r="AS81">
        <f>HYPERLINK("https://creighton-primo.hosted.exlibrisgroup.com/primo-explore/search?tab=default_tab&amp;search_scope=EVERYTHING&amp;vid=01CRU&amp;lang=en_US&amp;offset=0&amp;query=any,contains,991002099299702656","Catalog Record")</f>
        <v/>
      </c>
      <c r="AT81">
        <f>HYPERLINK("http://www.worldcat.org/oclc/26933001","WorldCat Record")</f>
        <v/>
      </c>
      <c r="AU81" t="inlineStr">
        <is>
          <t>375486:eng</t>
        </is>
      </c>
      <c r="AV81" t="inlineStr">
        <is>
          <t>26933001</t>
        </is>
      </c>
      <c r="AW81" t="inlineStr">
        <is>
          <t>991002099299702656</t>
        </is>
      </c>
      <c r="AX81" t="inlineStr">
        <is>
          <t>991002099299702656</t>
        </is>
      </c>
      <c r="AY81" t="inlineStr">
        <is>
          <t>2263863040002656</t>
        </is>
      </c>
      <c r="AZ81" t="inlineStr">
        <is>
          <t>BOOK</t>
        </is>
      </c>
      <c r="BB81" t="inlineStr">
        <is>
          <t>9780873224642</t>
        </is>
      </c>
      <c r="BC81" t="inlineStr">
        <is>
          <t>32285003676631</t>
        </is>
      </c>
      <c r="BD81" t="inlineStr">
        <is>
          <t>893621904</t>
        </is>
      </c>
    </row>
    <row r="82">
      <c r="A82" t="inlineStr">
        <is>
          <t>No</t>
        </is>
      </c>
      <c r="B82" t="inlineStr">
        <is>
          <t>RM727.W34 Y36 1990</t>
        </is>
      </c>
      <c r="C82" t="inlineStr">
        <is>
          <t>0                      RM 0727000W  34                 Y  36          1990</t>
        </is>
      </c>
      <c r="D82" t="inlineStr">
        <is>
          <t>Walking medicine : the lifetime guide to preventive and rehabilitative exercisewalking programs / by Gary Yanker and Kathy Burton, and 50 medical experts.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Yanker, Gary.</t>
        </is>
      </c>
      <c r="L82" t="inlineStr">
        <is>
          <t>New York : McGraw-Hill, c1990.</t>
        </is>
      </c>
      <c r="M82" t="inlineStr">
        <is>
          <t>1990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RM </t>
        </is>
      </c>
      <c r="S82" t="n">
        <v>12</v>
      </c>
      <c r="T82" t="n">
        <v>12</v>
      </c>
      <c r="U82" t="inlineStr">
        <is>
          <t>2008-02-24</t>
        </is>
      </c>
      <c r="V82" t="inlineStr">
        <is>
          <t>2008-02-24</t>
        </is>
      </c>
      <c r="W82" t="inlineStr">
        <is>
          <t>1990-09-20</t>
        </is>
      </c>
      <c r="X82" t="inlineStr">
        <is>
          <t>1990-09-20</t>
        </is>
      </c>
      <c r="Y82" t="n">
        <v>762</v>
      </c>
      <c r="Z82" t="n">
        <v>712</v>
      </c>
      <c r="AA82" t="n">
        <v>745</v>
      </c>
      <c r="AB82" t="n">
        <v>8</v>
      </c>
      <c r="AC82" t="n">
        <v>9</v>
      </c>
      <c r="AD82" t="n">
        <v>9</v>
      </c>
      <c r="AE82" t="n">
        <v>10</v>
      </c>
      <c r="AF82" t="n">
        <v>3</v>
      </c>
      <c r="AG82" t="n">
        <v>3</v>
      </c>
      <c r="AH82" t="n">
        <v>1</v>
      </c>
      <c r="AI82" t="n">
        <v>1</v>
      </c>
      <c r="AJ82" t="n">
        <v>2</v>
      </c>
      <c r="AK82" t="n">
        <v>2</v>
      </c>
      <c r="AL82" t="n">
        <v>4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HYPERLINK("http://catalog.hathitrust.org/Record/002181356","HathiTrust Record")</f>
        <v/>
      </c>
      <c r="AS82">
        <f>HYPERLINK("https://creighton-primo.hosted.exlibrisgroup.com/primo-explore/search?tab=default_tab&amp;search_scope=EVERYTHING&amp;vid=01CRU&amp;lang=en_US&amp;offset=0&amp;query=any,contains,991001638469702656","Catalog Record")</f>
        <v/>
      </c>
      <c r="AT82">
        <f>HYPERLINK("http://www.worldcat.org/oclc/20994184","WorldCat Record")</f>
        <v/>
      </c>
      <c r="AU82" t="inlineStr">
        <is>
          <t>203279425:eng</t>
        </is>
      </c>
      <c r="AV82" t="inlineStr">
        <is>
          <t>20994184</t>
        </is>
      </c>
      <c r="AW82" t="inlineStr">
        <is>
          <t>991001638469702656</t>
        </is>
      </c>
      <c r="AX82" t="inlineStr">
        <is>
          <t>991001638469702656</t>
        </is>
      </c>
      <c r="AY82" t="inlineStr">
        <is>
          <t>2270065370002656</t>
        </is>
      </c>
      <c r="AZ82" t="inlineStr">
        <is>
          <t>BOOK</t>
        </is>
      </c>
      <c r="BC82" t="inlineStr">
        <is>
          <t>32285000277540</t>
        </is>
      </c>
      <c r="BD82" t="inlineStr">
        <is>
          <t>893328246</t>
        </is>
      </c>
    </row>
    <row r="83">
      <c r="A83" t="inlineStr">
        <is>
          <t>No</t>
        </is>
      </c>
      <c r="B83" t="inlineStr">
        <is>
          <t>RM735.45 .O735 2003</t>
        </is>
      </c>
      <c r="C83" t="inlineStr">
        <is>
          <t>0                      RM 0735450O  735         2003</t>
        </is>
      </c>
      <c r="D83" t="inlineStr">
        <is>
          <t>Ordinary miracles : true stories about overcoming obstacles &amp; surviving catastrophes / edited by Deborah R. Labovitz.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L83" t="inlineStr">
        <is>
          <t>Thorofare, N.J. : Slack, c2003.</t>
        </is>
      </c>
      <c r="M83" t="inlineStr">
        <is>
          <t>2003</t>
        </is>
      </c>
      <c r="O83" t="inlineStr">
        <is>
          <t>eng</t>
        </is>
      </c>
      <c r="P83" t="inlineStr">
        <is>
          <t>nju</t>
        </is>
      </c>
      <c r="R83" t="inlineStr">
        <is>
          <t xml:space="preserve">RM </t>
        </is>
      </c>
      <c r="S83" t="n">
        <v>9</v>
      </c>
      <c r="T83" t="n">
        <v>9</v>
      </c>
      <c r="U83" t="inlineStr">
        <is>
          <t>2007-10-25</t>
        </is>
      </c>
      <c r="V83" t="inlineStr">
        <is>
          <t>2007-10-25</t>
        </is>
      </c>
      <c r="W83" t="inlineStr">
        <is>
          <t>2004-12-15</t>
        </is>
      </c>
      <c r="X83" t="inlineStr">
        <is>
          <t>2004-12-15</t>
        </is>
      </c>
      <c r="Y83" t="n">
        <v>142</v>
      </c>
      <c r="Z83" t="n">
        <v>109</v>
      </c>
      <c r="AA83" t="n">
        <v>130</v>
      </c>
      <c r="AB83" t="n">
        <v>3</v>
      </c>
      <c r="AC83" t="n">
        <v>3</v>
      </c>
      <c r="AD83" t="n">
        <v>6</v>
      </c>
      <c r="AE83" t="n">
        <v>7</v>
      </c>
      <c r="AF83" t="n">
        <v>3</v>
      </c>
      <c r="AG83" t="n">
        <v>4</v>
      </c>
      <c r="AH83" t="n">
        <v>1</v>
      </c>
      <c r="AI83" t="n">
        <v>1</v>
      </c>
      <c r="AJ83" t="n">
        <v>2</v>
      </c>
      <c r="AK83" t="n">
        <v>2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HYPERLINK("https://creighton-primo.hosted.exlibrisgroup.com/primo-explore/search?tab=default_tab&amp;search_scope=EVERYTHING&amp;vid=01CRU&amp;lang=en_US&amp;offset=0&amp;query=any,contains,991004389379702656","Catalog Record")</f>
        <v/>
      </c>
      <c r="AT83">
        <f>HYPERLINK("http://www.worldcat.org/oclc/50003266","WorldCat Record")</f>
        <v/>
      </c>
      <c r="AU83" t="inlineStr">
        <is>
          <t>1046508:eng</t>
        </is>
      </c>
      <c r="AV83" t="inlineStr">
        <is>
          <t>50003266</t>
        </is>
      </c>
      <c r="AW83" t="inlineStr">
        <is>
          <t>991004389379702656</t>
        </is>
      </c>
      <c r="AX83" t="inlineStr">
        <is>
          <t>991004389379702656</t>
        </is>
      </c>
      <c r="AY83" t="inlineStr">
        <is>
          <t>2268830280002656</t>
        </is>
      </c>
      <c r="AZ83" t="inlineStr">
        <is>
          <t>BOOK</t>
        </is>
      </c>
      <c r="BB83" t="inlineStr">
        <is>
          <t>9781556425714</t>
        </is>
      </c>
      <c r="BC83" t="inlineStr">
        <is>
          <t>32285005017578</t>
        </is>
      </c>
      <c r="BD83" t="inlineStr">
        <is>
          <t>893618612</t>
        </is>
      </c>
    </row>
    <row r="84">
      <c r="A84" t="inlineStr">
        <is>
          <t>No</t>
        </is>
      </c>
      <c r="B84" t="inlineStr">
        <is>
          <t>RM736.7 .G35 1991</t>
        </is>
      </c>
      <c r="C84" t="inlineStr">
        <is>
          <t>0                      RM 0736700G  35          1991</t>
        </is>
      </c>
      <c r="D84" t="inlineStr">
        <is>
          <t>Games, sports, and exercises for the physically disabled / Ronald C. Adams, Jeffrey A. McCubbin.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Philadelphia : Lea &amp; Febiger, 1991.</t>
        </is>
      </c>
      <c r="M84" t="inlineStr">
        <is>
          <t>1991</t>
        </is>
      </c>
      <c r="N84" t="inlineStr">
        <is>
          <t>4th ed.</t>
        </is>
      </c>
      <c r="O84" t="inlineStr">
        <is>
          <t>eng</t>
        </is>
      </c>
      <c r="P84" t="inlineStr">
        <is>
          <t>pau</t>
        </is>
      </c>
      <c r="R84" t="inlineStr">
        <is>
          <t xml:space="preserve">RM </t>
        </is>
      </c>
      <c r="S84" t="n">
        <v>7</v>
      </c>
      <c r="T84" t="n">
        <v>7</v>
      </c>
      <c r="U84" t="inlineStr">
        <is>
          <t>2001-04-18</t>
        </is>
      </c>
      <c r="V84" t="inlineStr">
        <is>
          <t>2001-04-18</t>
        </is>
      </c>
      <c r="W84" t="inlineStr">
        <is>
          <t>1990-11-09</t>
        </is>
      </c>
      <c r="X84" t="inlineStr">
        <is>
          <t>1990-11-09</t>
        </is>
      </c>
      <c r="Y84" t="n">
        <v>412</v>
      </c>
      <c r="Z84" t="n">
        <v>329</v>
      </c>
      <c r="AA84" t="n">
        <v>338</v>
      </c>
      <c r="AB84" t="n">
        <v>3</v>
      </c>
      <c r="AC84" t="n">
        <v>3</v>
      </c>
      <c r="AD84" t="n">
        <v>12</v>
      </c>
      <c r="AE84" t="n">
        <v>12</v>
      </c>
      <c r="AF84" t="n">
        <v>6</v>
      </c>
      <c r="AG84" t="n">
        <v>6</v>
      </c>
      <c r="AH84" t="n">
        <v>2</v>
      </c>
      <c r="AI84" t="n">
        <v>2</v>
      </c>
      <c r="AJ84" t="n">
        <v>6</v>
      </c>
      <c r="AK84" t="n">
        <v>6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HYPERLINK("http://catalog.hathitrust.org/Record/004516497","HathiTrust Record")</f>
        <v/>
      </c>
      <c r="AS84">
        <f>HYPERLINK("https://creighton-primo.hosted.exlibrisgroup.com/primo-explore/search?tab=default_tab&amp;search_scope=EVERYTHING&amp;vid=01CRU&amp;lang=en_US&amp;offset=0&amp;query=any,contains,991001651059702656","Catalog Record")</f>
        <v/>
      </c>
      <c r="AT84">
        <f>HYPERLINK("http://www.worldcat.org/oclc/21080859","WorldCat Record")</f>
        <v/>
      </c>
      <c r="AU84" t="inlineStr">
        <is>
          <t>3372702584:eng</t>
        </is>
      </c>
      <c r="AV84" t="inlineStr">
        <is>
          <t>21080859</t>
        </is>
      </c>
      <c r="AW84" t="inlineStr">
        <is>
          <t>991001651059702656</t>
        </is>
      </c>
      <c r="AX84" t="inlineStr">
        <is>
          <t>991001651059702656</t>
        </is>
      </c>
      <c r="AY84" t="inlineStr">
        <is>
          <t>2255619260002656</t>
        </is>
      </c>
      <c r="AZ84" t="inlineStr">
        <is>
          <t>BOOK</t>
        </is>
      </c>
      <c r="BB84" t="inlineStr">
        <is>
          <t>9780812111804</t>
        </is>
      </c>
      <c r="BC84" t="inlineStr">
        <is>
          <t>32285000314004</t>
        </is>
      </c>
      <c r="BD84" t="inlineStr">
        <is>
          <t>893334457</t>
        </is>
      </c>
    </row>
    <row r="85">
      <c r="A85" t="inlineStr">
        <is>
          <t>No</t>
        </is>
      </c>
      <c r="B85" t="inlineStr">
        <is>
          <t>RM849 .B63 1969</t>
        </is>
      </c>
      <c r="C85" t="inlineStr">
        <is>
          <t>0                      RM 0849000B  63          1969</t>
        </is>
      </c>
      <c r="D85" t="inlineStr">
        <is>
          <t>The rays : a history of radiology in the United States and Canada / [by] Ruth and Edward Brecher.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Brecher, Ruth.</t>
        </is>
      </c>
      <c r="L85" t="inlineStr">
        <is>
          <t>Huntington, N.Y. : Krieger Publ. Co. ; Baltimore : Williams and Wilkins, 1969.</t>
        </is>
      </c>
      <c r="M85" t="inlineStr">
        <is>
          <t>1969</t>
        </is>
      </c>
      <c r="O85" t="inlineStr">
        <is>
          <t>eng</t>
        </is>
      </c>
      <c r="P85" t="inlineStr">
        <is>
          <t>mdu</t>
        </is>
      </c>
      <c r="R85" t="inlineStr">
        <is>
          <t xml:space="preserve">RM </t>
        </is>
      </c>
      <c r="S85" t="n">
        <v>0</v>
      </c>
      <c r="T85" t="n">
        <v>0</v>
      </c>
      <c r="U85" t="inlineStr">
        <is>
          <t>2009-10-09</t>
        </is>
      </c>
      <c r="V85" t="inlineStr">
        <is>
          <t>2009-10-09</t>
        </is>
      </c>
      <c r="W85" t="inlineStr">
        <is>
          <t>1993-03-04</t>
        </is>
      </c>
      <c r="X85" t="inlineStr">
        <is>
          <t>1993-03-04</t>
        </is>
      </c>
      <c r="Y85" t="n">
        <v>198</v>
      </c>
      <c r="Z85" t="n">
        <v>160</v>
      </c>
      <c r="AA85" t="n">
        <v>168</v>
      </c>
      <c r="AB85" t="n">
        <v>1</v>
      </c>
      <c r="AC85" t="n">
        <v>1</v>
      </c>
      <c r="AD85" t="n">
        <v>4</v>
      </c>
      <c r="AE85" t="n">
        <v>4</v>
      </c>
      <c r="AF85" t="n">
        <v>1</v>
      </c>
      <c r="AG85" t="n">
        <v>1</v>
      </c>
      <c r="AH85" t="n">
        <v>2</v>
      </c>
      <c r="AI85" t="n">
        <v>2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HYPERLINK("http://catalog.hathitrust.org/Record/001573380","HathiTrust Record")</f>
        <v/>
      </c>
      <c r="AS85">
        <f>HYPERLINK("https://creighton-primo.hosted.exlibrisgroup.com/primo-explore/search?tab=default_tab&amp;search_scope=EVERYTHING&amp;vid=01CRU&amp;lang=en_US&amp;offset=0&amp;query=any,contains,991000123659702656","Catalog Record")</f>
        <v/>
      </c>
      <c r="AT85">
        <f>HYPERLINK("http://www.worldcat.org/oclc/51034","WorldCat Record")</f>
        <v/>
      </c>
      <c r="AU85" t="inlineStr">
        <is>
          <t>1169676:eng</t>
        </is>
      </c>
      <c r="AV85" t="inlineStr">
        <is>
          <t>51034</t>
        </is>
      </c>
      <c r="AW85" t="inlineStr">
        <is>
          <t>991000123659702656</t>
        </is>
      </c>
      <c r="AX85" t="inlineStr">
        <is>
          <t>991000123659702656</t>
        </is>
      </c>
      <c r="AY85" t="inlineStr">
        <is>
          <t>2258611880002656</t>
        </is>
      </c>
      <c r="AZ85" t="inlineStr">
        <is>
          <t>BOOK</t>
        </is>
      </c>
      <c r="BC85" t="inlineStr">
        <is>
          <t>32285001565018</t>
        </is>
      </c>
      <c r="BD85" t="inlineStr">
        <is>
          <t>893771410</t>
        </is>
      </c>
    </row>
    <row r="86">
      <c r="A86" t="inlineStr">
        <is>
          <t>No</t>
        </is>
      </c>
      <c r="B86" t="inlineStr">
        <is>
          <t>RM849 .H5</t>
        </is>
      </c>
      <c r="C86" t="inlineStr">
        <is>
          <t>0                      RM 0849000H  5</t>
        </is>
      </c>
      <c r="D86" t="inlineStr">
        <is>
          <t>Radiation dosimetry, edited by Gerald J. Hine and Gordon L. Brownell.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Hine, Gerald J. (Gerald John), 1916-, editor.</t>
        </is>
      </c>
      <c r="L86" t="inlineStr">
        <is>
          <t>New York, Academic Press, 1956.</t>
        </is>
      </c>
      <c r="M86" t="inlineStr">
        <is>
          <t>1956</t>
        </is>
      </c>
      <c r="O86" t="inlineStr">
        <is>
          <t>eng</t>
        </is>
      </c>
      <c r="P86" t="inlineStr">
        <is>
          <t>___</t>
        </is>
      </c>
      <c r="R86" t="inlineStr">
        <is>
          <t xml:space="preserve">RM </t>
        </is>
      </c>
      <c r="S86" t="n">
        <v>2</v>
      </c>
      <c r="T86" t="n">
        <v>2</v>
      </c>
      <c r="U86" t="inlineStr">
        <is>
          <t>1998-11-02</t>
        </is>
      </c>
      <c r="V86" t="inlineStr">
        <is>
          <t>1998-11-02</t>
        </is>
      </c>
      <c r="W86" t="inlineStr">
        <is>
          <t>1993-03-04</t>
        </is>
      </c>
      <c r="X86" t="inlineStr">
        <is>
          <t>1993-03-04</t>
        </is>
      </c>
      <c r="Y86" t="n">
        <v>308</v>
      </c>
      <c r="Z86" t="n">
        <v>220</v>
      </c>
      <c r="AA86" t="n">
        <v>271</v>
      </c>
      <c r="AB86" t="n">
        <v>1</v>
      </c>
      <c r="AC86" t="n">
        <v>1</v>
      </c>
      <c r="AD86" t="n">
        <v>8</v>
      </c>
      <c r="AE86" t="n">
        <v>10</v>
      </c>
      <c r="AF86" t="n">
        <v>4</v>
      </c>
      <c r="AG86" t="n">
        <v>5</v>
      </c>
      <c r="AH86" t="n">
        <v>2</v>
      </c>
      <c r="AI86" t="n">
        <v>3</v>
      </c>
      <c r="AJ86" t="n">
        <v>5</v>
      </c>
      <c r="AK86" t="n">
        <v>5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R86">
        <f>HYPERLINK("http://catalog.hathitrust.org/Record/001573386","HathiTrust Record")</f>
        <v/>
      </c>
      <c r="AS86">
        <f>HYPERLINK("https://creighton-primo.hosted.exlibrisgroup.com/primo-explore/search?tab=default_tab&amp;search_scope=EVERYTHING&amp;vid=01CRU&amp;lang=en_US&amp;offset=0&amp;query=any,contains,991003545029702656","Catalog Record")</f>
        <v/>
      </c>
      <c r="AT86">
        <f>HYPERLINK("http://www.worldcat.org/oclc/1111110","WorldCat Record")</f>
        <v/>
      </c>
      <c r="AU86" t="inlineStr">
        <is>
          <t>60895678:eng</t>
        </is>
      </c>
      <c r="AV86" t="inlineStr">
        <is>
          <t>1111110</t>
        </is>
      </c>
      <c r="AW86" t="inlineStr">
        <is>
          <t>991003545029702656</t>
        </is>
      </c>
      <c r="AX86" t="inlineStr">
        <is>
          <t>991003545029702656</t>
        </is>
      </c>
      <c r="AY86" t="inlineStr">
        <is>
          <t>2269747490002656</t>
        </is>
      </c>
      <c r="AZ86" t="inlineStr">
        <is>
          <t>BOOK</t>
        </is>
      </c>
      <c r="BC86" t="inlineStr">
        <is>
          <t>32285001565026</t>
        </is>
      </c>
      <c r="BD86" t="inlineStr">
        <is>
          <t>893781114</t>
        </is>
      </c>
    </row>
    <row r="87">
      <c r="A87" t="inlineStr">
        <is>
          <t>No</t>
        </is>
      </c>
      <c r="B87" t="inlineStr">
        <is>
          <t>RM849 .R32</t>
        </is>
      </c>
      <c r="C87" t="inlineStr">
        <is>
          <t>0                      RM 0849000R  32</t>
        </is>
      </c>
      <c r="D87" t="inlineStr">
        <is>
          <t>Radiation dosimetry.</t>
        </is>
      </c>
      <c r="E87" t="inlineStr">
        <is>
          <t>V.2</t>
        </is>
      </c>
      <c r="F87" t="inlineStr">
        <is>
          <t>Yes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New York, Academic Press, 1966-69 [v. 1, 1968]</t>
        </is>
      </c>
      <c r="M87" t="inlineStr">
        <is>
          <t>1966</t>
        </is>
      </c>
      <c r="N87" t="inlineStr">
        <is>
          <t>2d ed. [Editors: Frank H. Attix, William C. Roesch, Eugene Tochilin]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RM </t>
        </is>
      </c>
      <c r="S87" t="n">
        <v>0</v>
      </c>
      <c r="T87" t="n">
        <v>1</v>
      </c>
      <c r="V87" t="inlineStr">
        <is>
          <t>2009-05-03</t>
        </is>
      </c>
      <c r="W87" t="inlineStr">
        <is>
          <t>1997-08-13</t>
        </is>
      </c>
      <c r="X87" t="inlineStr">
        <is>
          <t>1997-08-13</t>
        </is>
      </c>
      <c r="Y87" t="n">
        <v>367</v>
      </c>
      <c r="Z87" t="n">
        <v>288</v>
      </c>
      <c r="AA87" t="n">
        <v>299</v>
      </c>
      <c r="AB87" t="n">
        <v>3</v>
      </c>
      <c r="AC87" t="n">
        <v>3</v>
      </c>
      <c r="AD87" t="n">
        <v>6</v>
      </c>
      <c r="AE87" t="n">
        <v>7</v>
      </c>
      <c r="AF87" t="n">
        <v>0</v>
      </c>
      <c r="AG87" t="n">
        <v>1</v>
      </c>
      <c r="AH87" t="n">
        <v>1</v>
      </c>
      <c r="AI87" t="n">
        <v>1</v>
      </c>
      <c r="AJ87" t="n">
        <v>3</v>
      </c>
      <c r="AK87" t="n">
        <v>4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HYPERLINK("http://catalog.hathitrust.org/Record/004422521","HathiTrust Record")</f>
        <v/>
      </c>
      <c r="AS87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7">
        <f>HYPERLINK("http://www.worldcat.org/oclc/288832","WorldCat Record")</f>
        <v/>
      </c>
      <c r="AU87" t="inlineStr">
        <is>
          <t>2864162200:eng</t>
        </is>
      </c>
      <c r="AV87" t="inlineStr">
        <is>
          <t>288832</t>
        </is>
      </c>
      <c r="AW87" t="inlineStr">
        <is>
          <t>991002216259702656</t>
        </is>
      </c>
      <c r="AX87" t="inlineStr">
        <is>
          <t>991002216259702656</t>
        </is>
      </c>
      <c r="AY87" t="inlineStr">
        <is>
          <t>2264016650002656</t>
        </is>
      </c>
      <c r="AZ87" t="inlineStr">
        <is>
          <t>BOOK</t>
        </is>
      </c>
      <c r="BC87" t="inlineStr">
        <is>
          <t>32285003094520</t>
        </is>
      </c>
      <c r="BD87" t="inlineStr">
        <is>
          <t>893703814</t>
        </is>
      </c>
    </row>
    <row r="88">
      <c r="A88" t="inlineStr">
        <is>
          <t>No</t>
        </is>
      </c>
      <c r="B88" t="inlineStr">
        <is>
          <t>RM849 .R32</t>
        </is>
      </c>
      <c r="C88" t="inlineStr">
        <is>
          <t>0                      RM 0849000R  32</t>
        </is>
      </c>
      <c r="D88" t="inlineStr">
        <is>
          <t>Radiation dosimetry.</t>
        </is>
      </c>
      <c r="F88" t="inlineStr">
        <is>
          <t>Yes</t>
        </is>
      </c>
      <c r="G88" t="inlineStr">
        <is>
          <t>1</t>
        </is>
      </c>
      <c r="H88" t="inlineStr">
        <is>
          <t>Yes</t>
        </is>
      </c>
      <c r="I88" t="inlineStr">
        <is>
          <t>No</t>
        </is>
      </c>
      <c r="J88" t="inlineStr">
        <is>
          <t>0</t>
        </is>
      </c>
      <c r="L88" t="inlineStr">
        <is>
          <t>New York, Academic Press, 1966-69 [v. 1, 1968]</t>
        </is>
      </c>
      <c r="M88" t="inlineStr">
        <is>
          <t>1966</t>
        </is>
      </c>
      <c r="N88" t="inlineStr">
        <is>
          <t>2d ed. [Editors: Frank H. Attix, William C. Roesch, Eugene Tochilin]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RM </t>
        </is>
      </c>
      <c r="S88" t="n">
        <v>0</v>
      </c>
      <c r="T88" t="n">
        <v>1</v>
      </c>
      <c r="V88" t="inlineStr">
        <is>
          <t>2009-05-03</t>
        </is>
      </c>
      <c r="W88" t="inlineStr">
        <is>
          <t>1997-08-13</t>
        </is>
      </c>
      <c r="X88" t="inlineStr">
        <is>
          <t>1997-08-13</t>
        </is>
      </c>
      <c r="Y88" t="n">
        <v>367</v>
      </c>
      <c r="Z88" t="n">
        <v>288</v>
      </c>
      <c r="AA88" t="n">
        <v>299</v>
      </c>
      <c r="AB88" t="n">
        <v>3</v>
      </c>
      <c r="AC88" t="n">
        <v>3</v>
      </c>
      <c r="AD88" t="n">
        <v>6</v>
      </c>
      <c r="AE88" t="n">
        <v>7</v>
      </c>
      <c r="AF88" t="n">
        <v>0</v>
      </c>
      <c r="AG88" t="n">
        <v>1</v>
      </c>
      <c r="AH88" t="n">
        <v>1</v>
      </c>
      <c r="AI88" t="n">
        <v>1</v>
      </c>
      <c r="AJ88" t="n">
        <v>3</v>
      </c>
      <c r="AK88" t="n">
        <v>4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HYPERLINK("http://catalog.hathitrust.org/Record/004422521","HathiTrust Record")</f>
        <v/>
      </c>
      <c r="AS88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8">
        <f>HYPERLINK("http://www.worldcat.org/oclc/288832","WorldCat Record")</f>
        <v/>
      </c>
      <c r="AU88" t="inlineStr">
        <is>
          <t>2864162200:eng</t>
        </is>
      </c>
      <c r="AV88" t="inlineStr">
        <is>
          <t>288832</t>
        </is>
      </c>
      <c r="AW88" t="inlineStr">
        <is>
          <t>991002216259702656</t>
        </is>
      </c>
      <c r="AX88" t="inlineStr">
        <is>
          <t>991002216259702656</t>
        </is>
      </c>
      <c r="AY88" t="inlineStr">
        <is>
          <t>2264016650002656</t>
        </is>
      </c>
      <c r="AZ88" t="inlineStr">
        <is>
          <t>BOOK</t>
        </is>
      </c>
      <c r="BC88" t="inlineStr">
        <is>
          <t>32285003094546</t>
        </is>
      </c>
      <c r="BD88" t="inlineStr">
        <is>
          <t>893697485</t>
        </is>
      </c>
    </row>
    <row r="89">
      <c r="A89" t="inlineStr">
        <is>
          <t>No</t>
        </is>
      </c>
      <c r="B89" t="inlineStr">
        <is>
          <t>RM849 .R32</t>
        </is>
      </c>
      <c r="C89" t="inlineStr">
        <is>
          <t>0                      RM 0849000R  32</t>
        </is>
      </c>
      <c r="D89" t="inlineStr">
        <is>
          <t>Radiation dosimetry.</t>
        </is>
      </c>
      <c r="E89" t="inlineStr">
        <is>
          <t>V.1</t>
        </is>
      </c>
      <c r="F89" t="inlineStr">
        <is>
          <t>Yes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New York, Academic Press, 1966-69 [v. 1, 1968]</t>
        </is>
      </c>
      <c r="M89" t="inlineStr">
        <is>
          <t>1966</t>
        </is>
      </c>
      <c r="N89" t="inlineStr">
        <is>
          <t>2d ed. [Editors: Frank H. Attix, William C. Roesch, Eugene Tochilin]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RM </t>
        </is>
      </c>
      <c r="S89" t="n">
        <v>1</v>
      </c>
      <c r="T89" t="n">
        <v>1</v>
      </c>
      <c r="U89" t="inlineStr">
        <is>
          <t>2009-05-03</t>
        </is>
      </c>
      <c r="V89" t="inlineStr">
        <is>
          <t>2009-05-03</t>
        </is>
      </c>
      <c r="W89" t="inlineStr">
        <is>
          <t>1997-08-13</t>
        </is>
      </c>
      <c r="X89" t="inlineStr">
        <is>
          <t>1997-08-13</t>
        </is>
      </c>
      <c r="Y89" t="n">
        <v>367</v>
      </c>
      <c r="Z89" t="n">
        <v>288</v>
      </c>
      <c r="AA89" t="n">
        <v>299</v>
      </c>
      <c r="AB89" t="n">
        <v>3</v>
      </c>
      <c r="AC89" t="n">
        <v>3</v>
      </c>
      <c r="AD89" t="n">
        <v>6</v>
      </c>
      <c r="AE89" t="n">
        <v>7</v>
      </c>
      <c r="AF89" t="n">
        <v>0</v>
      </c>
      <c r="AG89" t="n">
        <v>1</v>
      </c>
      <c r="AH89" t="n">
        <v>1</v>
      </c>
      <c r="AI89" t="n">
        <v>1</v>
      </c>
      <c r="AJ89" t="n">
        <v>3</v>
      </c>
      <c r="AK89" t="n">
        <v>4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HYPERLINK("http://catalog.hathitrust.org/Record/004422521","HathiTrust Record")</f>
        <v/>
      </c>
      <c r="AS89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9">
        <f>HYPERLINK("http://www.worldcat.org/oclc/288832","WorldCat Record")</f>
        <v/>
      </c>
      <c r="AU89" t="inlineStr">
        <is>
          <t>2864162200:eng</t>
        </is>
      </c>
      <c r="AV89" t="inlineStr">
        <is>
          <t>288832</t>
        </is>
      </c>
      <c r="AW89" t="inlineStr">
        <is>
          <t>991002216259702656</t>
        </is>
      </c>
      <c r="AX89" t="inlineStr">
        <is>
          <t>991002216259702656</t>
        </is>
      </c>
      <c r="AY89" t="inlineStr">
        <is>
          <t>2264016650002656</t>
        </is>
      </c>
      <c r="AZ89" t="inlineStr">
        <is>
          <t>BOOK</t>
        </is>
      </c>
      <c r="BC89" t="inlineStr">
        <is>
          <t>32285003094504</t>
        </is>
      </c>
      <c r="BD89" t="inlineStr">
        <is>
          <t>893703815</t>
        </is>
      </c>
    </row>
    <row r="90">
      <c r="A90" t="inlineStr">
        <is>
          <t>No</t>
        </is>
      </c>
      <c r="B90" t="inlineStr">
        <is>
          <t>RM849 .R32</t>
        </is>
      </c>
      <c r="C90" t="inlineStr">
        <is>
          <t>0                      RM 0849000R  32</t>
        </is>
      </c>
      <c r="D90" t="inlineStr">
        <is>
          <t>Radiation dosimetry.</t>
        </is>
      </c>
      <c r="E90" t="inlineStr">
        <is>
          <t>V.3</t>
        </is>
      </c>
      <c r="F90" t="inlineStr">
        <is>
          <t>Yes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New York, Academic Press, 1966-69 [v. 1, 1968]</t>
        </is>
      </c>
      <c r="M90" t="inlineStr">
        <is>
          <t>1966</t>
        </is>
      </c>
      <c r="N90" t="inlineStr">
        <is>
          <t>2d ed. [Editors: Frank H. Attix, William C. Roesch, Eugene Tochilin]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RM </t>
        </is>
      </c>
      <c r="S90" t="n">
        <v>0</v>
      </c>
      <c r="T90" t="n">
        <v>1</v>
      </c>
      <c r="V90" t="inlineStr">
        <is>
          <t>2009-05-03</t>
        </is>
      </c>
      <c r="W90" t="inlineStr">
        <is>
          <t>1997-08-13</t>
        </is>
      </c>
      <c r="X90" t="inlineStr">
        <is>
          <t>1997-08-13</t>
        </is>
      </c>
      <c r="Y90" t="n">
        <v>367</v>
      </c>
      <c r="Z90" t="n">
        <v>288</v>
      </c>
      <c r="AA90" t="n">
        <v>299</v>
      </c>
      <c r="AB90" t="n">
        <v>3</v>
      </c>
      <c r="AC90" t="n">
        <v>3</v>
      </c>
      <c r="AD90" t="n">
        <v>6</v>
      </c>
      <c r="AE90" t="n">
        <v>7</v>
      </c>
      <c r="AF90" t="n">
        <v>0</v>
      </c>
      <c r="AG90" t="n">
        <v>1</v>
      </c>
      <c r="AH90" t="n">
        <v>1</v>
      </c>
      <c r="AI90" t="n">
        <v>1</v>
      </c>
      <c r="AJ90" t="n">
        <v>3</v>
      </c>
      <c r="AK90" t="n">
        <v>4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HYPERLINK("http://catalog.hathitrust.org/Record/004422521","HathiTrust Record")</f>
        <v/>
      </c>
      <c r="AS90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90">
        <f>HYPERLINK("http://www.worldcat.org/oclc/288832","WorldCat Record")</f>
        <v/>
      </c>
      <c r="AU90" t="inlineStr">
        <is>
          <t>2864162200:eng</t>
        </is>
      </c>
      <c r="AV90" t="inlineStr">
        <is>
          <t>288832</t>
        </is>
      </c>
      <c r="AW90" t="inlineStr">
        <is>
          <t>991002216259702656</t>
        </is>
      </c>
      <c r="AX90" t="inlineStr">
        <is>
          <t>991002216259702656</t>
        </is>
      </c>
      <c r="AY90" t="inlineStr">
        <is>
          <t>2264016650002656</t>
        </is>
      </c>
      <c r="AZ90" t="inlineStr">
        <is>
          <t>BOOK</t>
        </is>
      </c>
      <c r="BC90" t="inlineStr">
        <is>
          <t>32285003094538</t>
        </is>
      </c>
      <c r="BD90" t="inlineStr">
        <is>
          <t>893697484</t>
        </is>
      </c>
    </row>
    <row r="91">
      <c r="A91" t="inlineStr">
        <is>
          <t>No</t>
        </is>
      </c>
      <c r="B91" t="inlineStr">
        <is>
          <t>RM863 .K65 1985</t>
        </is>
      </c>
      <c r="C91" t="inlineStr">
        <is>
          <t>0                      RM 0863000K  65          1985</t>
        </is>
      </c>
      <c r="D91" t="inlineStr">
        <is>
          <t>Cryotherapy : theory, technique and physiology / Kenneth L. Knight.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Knight, Kenneth L.</t>
        </is>
      </c>
      <c r="L91" t="inlineStr">
        <is>
          <t>Chattanooga, Tenn. ; Chattanooga Corp., Education Division, c1985.</t>
        </is>
      </c>
      <c r="M91" t="inlineStr">
        <is>
          <t>1985</t>
        </is>
      </c>
      <c r="N91" t="inlineStr">
        <is>
          <t>1st ed.</t>
        </is>
      </c>
      <c r="O91" t="inlineStr">
        <is>
          <t>eng</t>
        </is>
      </c>
      <c r="P91" t="inlineStr">
        <is>
          <t>tnu</t>
        </is>
      </c>
      <c r="R91" t="inlineStr">
        <is>
          <t xml:space="preserve">RM </t>
        </is>
      </c>
      <c r="S91" t="n">
        <v>2</v>
      </c>
      <c r="T91" t="n">
        <v>2</v>
      </c>
      <c r="U91" t="inlineStr">
        <is>
          <t>2009-09-29</t>
        </is>
      </c>
      <c r="V91" t="inlineStr">
        <is>
          <t>2009-09-29</t>
        </is>
      </c>
      <c r="W91" t="inlineStr">
        <is>
          <t>1992-05-01</t>
        </is>
      </c>
      <c r="X91" t="inlineStr">
        <is>
          <t>1992-05-01</t>
        </is>
      </c>
      <c r="Y91" t="n">
        <v>83</v>
      </c>
      <c r="Z91" t="n">
        <v>73</v>
      </c>
      <c r="AA91" t="n">
        <v>75</v>
      </c>
      <c r="AB91" t="n">
        <v>1</v>
      </c>
      <c r="AC91" t="n">
        <v>1</v>
      </c>
      <c r="AD91" t="n">
        <v>3</v>
      </c>
      <c r="AE91" t="n">
        <v>3</v>
      </c>
      <c r="AF91" t="n">
        <v>2</v>
      </c>
      <c r="AG91" t="n">
        <v>2</v>
      </c>
      <c r="AH91" t="n">
        <v>1</v>
      </c>
      <c r="AI91" t="n">
        <v>1</v>
      </c>
      <c r="AJ91" t="n">
        <v>2</v>
      </c>
      <c r="AK91" t="n">
        <v>2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HYPERLINK("http://catalog.hathitrust.org/Record/004422526","HathiTrust Record")</f>
        <v/>
      </c>
      <c r="AS91">
        <f>HYPERLINK("https://creighton-primo.hosted.exlibrisgroup.com/primo-explore/search?tab=default_tab&amp;search_scope=EVERYTHING&amp;vid=01CRU&amp;lang=en_US&amp;offset=0&amp;query=any,contains,991000672389702656","Catalog Record")</f>
        <v/>
      </c>
      <c r="AT91">
        <f>HYPERLINK("http://www.worldcat.org/oclc/17918673","WorldCat Record")</f>
        <v/>
      </c>
      <c r="AU91" t="inlineStr">
        <is>
          <t>890644878:eng</t>
        </is>
      </c>
      <c r="AV91" t="inlineStr">
        <is>
          <t>17918673</t>
        </is>
      </c>
      <c r="AW91" t="inlineStr">
        <is>
          <t>991000672389702656</t>
        </is>
      </c>
      <c r="AX91" t="inlineStr">
        <is>
          <t>991000672389702656</t>
        </is>
      </c>
      <c r="AY91" t="inlineStr">
        <is>
          <t>2271596980002656</t>
        </is>
      </c>
      <c r="AZ91" t="inlineStr">
        <is>
          <t>BOOK</t>
        </is>
      </c>
      <c r="BC91" t="inlineStr">
        <is>
          <t>32285001090926</t>
        </is>
      </c>
      <c r="BD91" t="inlineStr">
        <is>
          <t>893608169</t>
        </is>
      </c>
    </row>
    <row r="92">
      <c r="A92" t="inlineStr">
        <is>
          <t>No</t>
        </is>
      </c>
      <c r="B92" t="inlineStr">
        <is>
          <t>RM865 .T46 1982</t>
        </is>
      </c>
      <c r="C92" t="inlineStr">
        <is>
          <t>0                      RM 0865000T  46          1982</t>
        </is>
      </c>
      <c r="D92" t="inlineStr">
        <is>
          <t>Therapeutic heat and cold / edited by Justus F. Lehmann.</t>
        </is>
      </c>
      <c r="F92" t="inlineStr">
        <is>
          <t>No</t>
        </is>
      </c>
      <c r="G92" t="inlineStr">
        <is>
          <t>1</t>
        </is>
      </c>
      <c r="H92" t="inlineStr">
        <is>
          <t>Yes</t>
        </is>
      </c>
      <c r="I92" t="inlineStr">
        <is>
          <t>No</t>
        </is>
      </c>
      <c r="J92" t="inlineStr">
        <is>
          <t>0</t>
        </is>
      </c>
      <c r="L92" t="inlineStr">
        <is>
          <t>Baltimore : Williams &amp; Wilkins, c1982.</t>
        </is>
      </c>
      <c r="M92" t="inlineStr">
        <is>
          <t>1982</t>
        </is>
      </c>
      <c r="N92" t="inlineStr">
        <is>
          <t>3rd ed.</t>
        </is>
      </c>
      <c r="O92" t="inlineStr">
        <is>
          <t>eng</t>
        </is>
      </c>
      <c r="P92" t="inlineStr">
        <is>
          <t>mdu</t>
        </is>
      </c>
      <c r="Q92" t="inlineStr">
        <is>
          <t>Rehabilitation medicine library</t>
        </is>
      </c>
      <c r="R92" t="inlineStr">
        <is>
          <t xml:space="preserve">RM </t>
        </is>
      </c>
      <c r="S92" t="n">
        <v>2</v>
      </c>
      <c r="T92" t="n">
        <v>2</v>
      </c>
      <c r="U92" t="inlineStr">
        <is>
          <t>2009-09-29</t>
        </is>
      </c>
      <c r="V92" t="inlineStr">
        <is>
          <t>2009-09-29</t>
        </is>
      </c>
      <c r="W92" t="inlineStr">
        <is>
          <t>1993-03-04</t>
        </is>
      </c>
      <c r="X92" t="inlineStr">
        <is>
          <t>1993-03-04</t>
        </is>
      </c>
      <c r="Y92" t="n">
        <v>249</v>
      </c>
      <c r="Z92" t="n">
        <v>193</v>
      </c>
      <c r="AA92" t="n">
        <v>335</v>
      </c>
      <c r="AB92" t="n">
        <v>2</v>
      </c>
      <c r="AC92" t="n">
        <v>2</v>
      </c>
      <c r="AD92" t="n">
        <v>3</v>
      </c>
      <c r="AE92" t="n">
        <v>8</v>
      </c>
      <c r="AF92" t="n">
        <v>3</v>
      </c>
      <c r="AG92" t="n">
        <v>6</v>
      </c>
      <c r="AH92" t="n">
        <v>0</v>
      </c>
      <c r="AI92" t="n">
        <v>1</v>
      </c>
      <c r="AJ92" t="n">
        <v>1</v>
      </c>
      <c r="AK92" t="n">
        <v>4</v>
      </c>
      <c r="AL92" t="n">
        <v>0</v>
      </c>
      <c r="AM92" t="n">
        <v>0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HYPERLINK("http://catalog.hathitrust.org/Record/000268869","HathiTrust Record")</f>
        <v/>
      </c>
      <c r="AS92">
        <f>HYPERLINK("https://creighton-primo.hosted.exlibrisgroup.com/primo-explore/search?tab=default_tab&amp;search_scope=EVERYTHING&amp;vid=01CRU&amp;lang=en_US&amp;offset=0&amp;query=any,contains,991005156039702656","Catalog Record")</f>
        <v/>
      </c>
      <c r="AT92">
        <f>HYPERLINK("http://www.worldcat.org/oclc/7739828","WorldCat Record")</f>
        <v/>
      </c>
      <c r="AU92" t="inlineStr">
        <is>
          <t>54459081:eng</t>
        </is>
      </c>
      <c r="AV92" t="inlineStr">
        <is>
          <t>7739828</t>
        </is>
      </c>
      <c r="AW92" t="inlineStr">
        <is>
          <t>991005156039702656</t>
        </is>
      </c>
      <c r="AX92" t="inlineStr">
        <is>
          <t>991005156039702656</t>
        </is>
      </c>
      <c r="AY92" t="inlineStr">
        <is>
          <t>2256450240002656</t>
        </is>
      </c>
      <c r="AZ92" t="inlineStr">
        <is>
          <t>BOOK</t>
        </is>
      </c>
      <c r="BB92" t="inlineStr">
        <is>
          <t>9780683049077</t>
        </is>
      </c>
      <c r="BC92" t="inlineStr">
        <is>
          <t>32285001565034</t>
        </is>
      </c>
      <c r="BD92" t="inlineStr">
        <is>
          <t>893619555</t>
        </is>
      </c>
    </row>
    <row r="93">
      <c r="A93" t="inlineStr">
        <is>
          <t>No</t>
        </is>
      </c>
      <c r="B93" t="inlineStr">
        <is>
          <t>RM872 .S68 1995</t>
        </is>
      </c>
      <c r="C93" t="inlineStr">
        <is>
          <t>0                      RM 0872000S  68          1995</t>
        </is>
      </c>
      <c r="D93" t="inlineStr">
        <is>
          <t>Clinical electrophysiology : electrotherapy and electrophysiologic testing / Andrew J. Robinson, Lynn Snyder-Mackler.</t>
        </is>
      </c>
      <c r="F93" t="inlineStr">
        <is>
          <t>No</t>
        </is>
      </c>
      <c r="G93" t="inlineStr">
        <is>
          <t>1</t>
        </is>
      </c>
      <c r="H93" t="inlineStr">
        <is>
          <t>Yes</t>
        </is>
      </c>
      <c r="I93" t="inlineStr">
        <is>
          <t>Yes</t>
        </is>
      </c>
      <c r="J93" t="inlineStr">
        <is>
          <t>0</t>
        </is>
      </c>
      <c r="K93" t="inlineStr">
        <is>
          <t>Robinson, Andrew J., Ph. D.</t>
        </is>
      </c>
      <c r="L93" t="inlineStr">
        <is>
          <t>Baltimore : Williams &amp; Wilkins, c1995.</t>
        </is>
      </c>
      <c r="M93" t="inlineStr">
        <is>
          <t>1995</t>
        </is>
      </c>
      <c r="N93" t="inlineStr">
        <is>
          <t>2nd ed.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RM </t>
        </is>
      </c>
      <c r="S93" t="n">
        <v>3</v>
      </c>
      <c r="T93" t="n">
        <v>61</v>
      </c>
      <c r="U93" t="inlineStr">
        <is>
          <t>1998-05-28</t>
        </is>
      </c>
      <c r="V93" t="inlineStr">
        <is>
          <t>2005-12-11</t>
        </is>
      </c>
      <c r="W93" t="inlineStr">
        <is>
          <t>1995-10-18</t>
        </is>
      </c>
      <c r="X93" t="inlineStr">
        <is>
          <t>1995-10-18</t>
        </is>
      </c>
      <c r="Y93" t="n">
        <v>214</v>
      </c>
      <c r="Z93" t="n">
        <v>166</v>
      </c>
      <c r="AA93" t="n">
        <v>332</v>
      </c>
      <c r="AB93" t="n">
        <v>2</v>
      </c>
      <c r="AC93" t="n">
        <v>2</v>
      </c>
      <c r="AD93" t="n">
        <v>6</v>
      </c>
      <c r="AE93" t="n">
        <v>13</v>
      </c>
      <c r="AF93" t="n">
        <v>5</v>
      </c>
      <c r="AG93" t="n">
        <v>9</v>
      </c>
      <c r="AH93" t="n">
        <v>1</v>
      </c>
      <c r="AI93" t="n">
        <v>3</v>
      </c>
      <c r="AJ93" t="n">
        <v>1</v>
      </c>
      <c r="AK93" t="n">
        <v>3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HYPERLINK("https://creighton-primo.hosted.exlibrisgroup.com/primo-explore/search?tab=default_tab&amp;search_scope=EVERYTHING&amp;vid=01CRU&amp;lang=en_US&amp;offset=0&amp;query=any,contains,991001798559702656","Catalog Record")</f>
        <v/>
      </c>
      <c r="AT93">
        <f>HYPERLINK("http://www.worldcat.org/oclc/31074941","WorldCat Record")</f>
        <v/>
      </c>
      <c r="AU93" t="inlineStr">
        <is>
          <t>291311297:eng</t>
        </is>
      </c>
      <c r="AV93" t="inlineStr">
        <is>
          <t>31074941</t>
        </is>
      </c>
      <c r="AW93" t="inlineStr">
        <is>
          <t>991001798559702656</t>
        </is>
      </c>
      <c r="AX93" t="inlineStr">
        <is>
          <t>991001798559702656</t>
        </is>
      </c>
      <c r="AY93" t="inlineStr">
        <is>
          <t>2269323700002656</t>
        </is>
      </c>
      <c r="AZ93" t="inlineStr">
        <is>
          <t>BOOK</t>
        </is>
      </c>
      <c r="BB93" t="inlineStr">
        <is>
          <t>9780683078176</t>
        </is>
      </c>
      <c r="BC93" t="inlineStr">
        <is>
          <t>32285002068616</t>
        </is>
      </c>
      <c r="BD93" t="inlineStr">
        <is>
          <t>893414523</t>
        </is>
      </c>
    </row>
    <row r="94">
      <c r="A94" t="inlineStr">
        <is>
          <t>No</t>
        </is>
      </c>
      <c r="B94" t="inlineStr">
        <is>
          <t>RM921 .M33</t>
        </is>
      </c>
      <c r="C94" t="inlineStr">
        <is>
          <t>0                      RM 0921000M  33</t>
        </is>
      </c>
      <c r="D94" t="inlineStr">
        <is>
          <t>The art of counseling / by Rollo May ; introduction by Harry Bone.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May, Rollo.</t>
        </is>
      </c>
      <c r="L94" t="inlineStr">
        <is>
          <t>New York : Abingdon Press, c1939.</t>
        </is>
      </c>
      <c r="M94" t="inlineStr">
        <is>
          <t>1939</t>
        </is>
      </c>
      <c r="O94" t="inlineStr">
        <is>
          <t>eng</t>
        </is>
      </c>
      <c r="P94" t="inlineStr">
        <is>
          <t>nyu</t>
        </is>
      </c>
      <c r="Q94" t="inlineStr">
        <is>
          <t>Apex books</t>
        </is>
      </c>
      <c r="R94" t="inlineStr">
        <is>
          <t xml:space="preserve">RM </t>
        </is>
      </c>
      <c r="S94" t="n">
        <v>4</v>
      </c>
      <c r="T94" t="n">
        <v>4</v>
      </c>
      <c r="U94" t="inlineStr">
        <is>
          <t>2007-05-16</t>
        </is>
      </c>
      <c r="V94" t="inlineStr">
        <is>
          <t>2007-05-16</t>
        </is>
      </c>
      <c r="W94" t="inlineStr">
        <is>
          <t>1992-02-14</t>
        </is>
      </c>
      <c r="X94" t="inlineStr">
        <is>
          <t>1992-02-14</t>
        </is>
      </c>
      <c r="Y94" t="n">
        <v>245</v>
      </c>
      <c r="Z94" t="n">
        <v>211</v>
      </c>
      <c r="AA94" t="n">
        <v>844</v>
      </c>
      <c r="AB94" t="n">
        <v>1</v>
      </c>
      <c r="AC94" t="n">
        <v>9</v>
      </c>
      <c r="AD94" t="n">
        <v>6</v>
      </c>
      <c r="AE94" t="n">
        <v>36</v>
      </c>
      <c r="AF94" t="n">
        <v>1</v>
      </c>
      <c r="AG94" t="n">
        <v>14</v>
      </c>
      <c r="AH94" t="n">
        <v>1</v>
      </c>
      <c r="AI94" t="n">
        <v>5</v>
      </c>
      <c r="AJ94" t="n">
        <v>4</v>
      </c>
      <c r="AK94" t="n">
        <v>16</v>
      </c>
      <c r="AL94" t="n">
        <v>0</v>
      </c>
      <c r="AM94" t="n">
        <v>7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HYPERLINK("https://creighton-primo.hosted.exlibrisgroup.com/primo-explore/search?tab=default_tab&amp;search_scope=EVERYTHING&amp;vid=01CRU&amp;lang=en_US&amp;offset=0&amp;query=any,contains,991001927579702656","Catalog Record")</f>
        <v/>
      </c>
      <c r="AT94">
        <f>HYPERLINK("http://www.worldcat.org/oclc/24336763","WorldCat Record")</f>
        <v/>
      </c>
      <c r="AU94" t="inlineStr">
        <is>
          <t>285331:eng</t>
        </is>
      </c>
      <c r="AV94" t="inlineStr">
        <is>
          <t>24336763</t>
        </is>
      </c>
      <c r="AW94" t="inlineStr">
        <is>
          <t>991001927579702656</t>
        </is>
      </c>
      <c r="AX94" t="inlineStr">
        <is>
          <t>991001927579702656</t>
        </is>
      </c>
      <c r="AY94" t="inlineStr">
        <is>
          <t>2270816390002656</t>
        </is>
      </c>
      <c r="AZ94" t="inlineStr">
        <is>
          <t>BOOK</t>
        </is>
      </c>
      <c r="BC94" t="inlineStr">
        <is>
          <t>32285000958800</t>
        </is>
      </c>
      <c r="BD94" t="inlineStr">
        <is>
          <t>893596842</t>
        </is>
      </c>
    </row>
    <row r="95">
      <c r="A95" t="inlineStr">
        <is>
          <t>No</t>
        </is>
      </c>
      <c r="B95" t="inlineStr">
        <is>
          <t>QV S793p 1911</t>
        </is>
      </c>
      <c r="C95" t="inlineStr">
        <is>
          <t>0                      QV 0000000S  793p        1911</t>
        </is>
      </c>
      <c r="D95" t="inlineStr">
        <is>
          <t>Aids to practical pharmacy for medical students / Arthur C. L. Stark.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Stark, Arthur Campbell.</t>
        </is>
      </c>
      <c r="L95" t="inlineStr">
        <is>
          <t>London : Baillière, Tindall &amp; Cox, 1913, c1911.</t>
        </is>
      </c>
      <c r="M95" t="inlineStr">
        <is>
          <t>1911</t>
        </is>
      </c>
      <c r="N95" t="inlineStr">
        <is>
          <t>2d ed.</t>
        </is>
      </c>
      <c r="O95" t="inlineStr">
        <is>
          <t>eng</t>
        </is>
      </c>
      <c r="P95" t="inlineStr">
        <is>
          <t>lau</t>
        </is>
      </c>
      <c r="R95" t="inlineStr">
        <is>
          <t xml:space="preserve">QV </t>
        </is>
      </c>
      <c r="S95" t="n">
        <v>1</v>
      </c>
      <c r="T95" t="n">
        <v>1</v>
      </c>
      <c r="U95" t="inlineStr">
        <is>
          <t>1992-03-27</t>
        </is>
      </c>
      <c r="V95" t="inlineStr">
        <is>
          <t>1992-03-27</t>
        </is>
      </c>
      <c r="W95" t="inlineStr">
        <is>
          <t>1988-01-27</t>
        </is>
      </c>
      <c r="X95" t="inlineStr">
        <is>
          <t>1988-01-27</t>
        </is>
      </c>
      <c r="Y95" t="n">
        <v>6</v>
      </c>
      <c r="Z95" t="n">
        <v>2</v>
      </c>
      <c r="AA95" t="n">
        <v>10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HYPERLINK("https://creighton-primo.hosted.exlibrisgroup.com/primo-explore/search?tab=default_tab&amp;search_scope=EVERYTHING&amp;vid=01CRU&amp;lang=en_US&amp;offset=0&amp;query=any,contains,991000911909702656","Catalog Record")</f>
        <v/>
      </c>
      <c r="AT95">
        <f>HYPERLINK("http://www.worldcat.org/oclc/14795894","WorldCat Record")</f>
        <v/>
      </c>
    </row>
    <row r="96">
      <c r="A96" t="inlineStr">
        <is>
          <t>No</t>
        </is>
      </c>
      <c r="B96" t="inlineStr">
        <is>
          <t>QV 4 A839p 1987</t>
        </is>
      </c>
      <c r="C96" t="inlineStr">
        <is>
          <t>0                      QV 0004000A  839p        1987</t>
        </is>
      </c>
      <c r="D96" t="inlineStr">
        <is>
          <t>Pharmacology, an introductory text / Mary Kaye Asperheim.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Asperheim, Mary Kaye.</t>
        </is>
      </c>
      <c r="L96" t="inlineStr">
        <is>
          <t>Philadelphia : Saunders, c1987.</t>
        </is>
      </c>
      <c r="M96" t="inlineStr">
        <is>
          <t>1987</t>
        </is>
      </c>
      <c r="N96" t="inlineStr">
        <is>
          <t>6th ed.</t>
        </is>
      </c>
      <c r="O96" t="inlineStr">
        <is>
          <t>eng</t>
        </is>
      </c>
      <c r="P96" t="inlineStr">
        <is>
          <t>xxu</t>
        </is>
      </c>
      <c r="R96" t="inlineStr">
        <is>
          <t xml:space="preserve">QV </t>
        </is>
      </c>
      <c r="S96" t="n">
        <v>4</v>
      </c>
      <c r="T96" t="n">
        <v>4</v>
      </c>
      <c r="U96" t="inlineStr">
        <is>
          <t>2001-09-13</t>
        </is>
      </c>
      <c r="V96" t="inlineStr">
        <is>
          <t>2001-09-13</t>
        </is>
      </c>
      <c r="W96" t="inlineStr">
        <is>
          <t>1987-09-27</t>
        </is>
      </c>
      <c r="X96" t="inlineStr">
        <is>
          <t>1987-09-27</t>
        </is>
      </c>
      <c r="Y96" t="n">
        <v>139</v>
      </c>
      <c r="Z96" t="n">
        <v>102</v>
      </c>
      <c r="AA96" t="n">
        <v>355</v>
      </c>
      <c r="AB96" t="n">
        <v>1</v>
      </c>
      <c r="AC96" t="n">
        <v>3</v>
      </c>
      <c r="AD96" t="n">
        <v>4</v>
      </c>
      <c r="AE96" t="n">
        <v>9</v>
      </c>
      <c r="AF96" t="n">
        <v>3</v>
      </c>
      <c r="AG96" t="n">
        <v>3</v>
      </c>
      <c r="AH96" t="n">
        <v>0</v>
      </c>
      <c r="AI96" t="n">
        <v>1</v>
      </c>
      <c r="AJ96" t="n">
        <v>1</v>
      </c>
      <c r="AK96" t="n">
        <v>5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HYPERLINK("http://catalog.hathitrust.org/Record/000811926","HathiTrust Record")</f>
        <v/>
      </c>
      <c r="AS96">
        <f>HYPERLINK("https://creighton-primo.hosted.exlibrisgroup.com/primo-explore/search?tab=default_tab&amp;search_scope=EVERYTHING&amp;vid=01CRU&amp;lang=en_US&amp;offset=0&amp;query=any,contains,991000747119702656","Catalog Record")</f>
        <v/>
      </c>
      <c r="AT96">
        <f>HYPERLINK("http://www.worldcat.org/oclc/14188822","WorldCat Record")</f>
        <v/>
      </c>
    </row>
    <row r="97">
      <c r="A97" t="inlineStr">
        <is>
          <t>No</t>
        </is>
      </c>
      <c r="B97" t="inlineStr">
        <is>
          <t>QV 4 A839pa 1985</t>
        </is>
      </c>
      <c r="C97" t="inlineStr">
        <is>
          <t>0                      QV 0004000A  839pa       1985</t>
        </is>
      </c>
      <c r="D97" t="inlineStr">
        <is>
          <t>Pharmacologic basis of patient care / Mary K. Asperheim.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Asperheim, Mary Kaye.</t>
        </is>
      </c>
      <c r="L97" t="inlineStr">
        <is>
          <t>Philadelphia : Saunders, c1985.</t>
        </is>
      </c>
      <c r="M97" t="inlineStr">
        <is>
          <t>1985</t>
        </is>
      </c>
      <c r="N97" t="inlineStr">
        <is>
          <t>5th ed.</t>
        </is>
      </c>
      <c r="O97" t="inlineStr">
        <is>
          <t>eng</t>
        </is>
      </c>
      <c r="P97" t="inlineStr">
        <is>
          <t>xxu</t>
        </is>
      </c>
      <c r="R97" t="inlineStr">
        <is>
          <t xml:space="preserve">QV </t>
        </is>
      </c>
      <c r="S97" t="n">
        <v>22</v>
      </c>
      <c r="T97" t="n">
        <v>22</v>
      </c>
      <c r="U97" t="inlineStr">
        <is>
          <t>1990-09-16</t>
        </is>
      </c>
      <c r="V97" t="inlineStr">
        <is>
          <t>1990-09-16</t>
        </is>
      </c>
      <c r="W97" t="inlineStr">
        <is>
          <t>1987-09-27</t>
        </is>
      </c>
      <c r="X97" t="inlineStr">
        <is>
          <t>1987-09-27</t>
        </is>
      </c>
      <c r="Y97" t="n">
        <v>259</v>
      </c>
      <c r="Z97" t="n">
        <v>210</v>
      </c>
      <c r="AA97" t="n">
        <v>395</v>
      </c>
      <c r="AB97" t="n">
        <v>2</v>
      </c>
      <c r="AC97" t="n">
        <v>4</v>
      </c>
      <c r="AD97" t="n">
        <v>3</v>
      </c>
      <c r="AE97" t="n">
        <v>10</v>
      </c>
      <c r="AF97" t="n">
        <v>1</v>
      </c>
      <c r="AG97" t="n">
        <v>3</v>
      </c>
      <c r="AH97" t="n">
        <v>0</v>
      </c>
      <c r="AI97" t="n">
        <v>1</v>
      </c>
      <c r="AJ97" t="n">
        <v>2</v>
      </c>
      <c r="AK97" t="n">
        <v>5</v>
      </c>
      <c r="AL97" t="n">
        <v>0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HYPERLINK("http://catalog.hathitrust.org/Record/000335221","HathiTrust Record")</f>
        <v/>
      </c>
      <c r="AS97">
        <f>HYPERLINK("https://creighton-primo.hosted.exlibrisgroup.com/primo-explore/search?tab=default_tab&amp;search_scope=EVERYTHING&amp;vid=01CRU&amp;lang=en_US&amp;offset=0&amp;query=any,contains,991000747169702656","Catalog Record")</f>
        <v/>
      </c>
      <c r="AT97">
        <f>HYPERLINK("http://www.worldcat.org/oclc/11030357","WorldCat Record")</f>
        <v/>
      </c>
    </row>
    <row r="98">
      <c r="A98" t="inlineStr">
        <is>
          <t>No</t>
        </is>
      </c>
      <c r="B98" t="inlineStr">
        <is>
          <t>QV 4 B3102 1982</t>
        </is>
      </c>
      <c r="C98" t="inlineStr">
        <is>
          <t>0                      QV 0004000B  3102        1982</t>
        </is>
      </c>
      <c r="D98" t="inlineStr">
        <is>
          <t>Basic &amp; clinical pharmacology / edited by Bertram G. Katzung.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Yes</t>
        </is>
      </c>
      <c r="J98" t="inlineStr">
        <is>
          <t>3</t>
        </is>
      </c>
      <c r="L98" t="inlineStr">
        <is>
          <t>Los Altos, Calif. : Lange Medical Publications, c1982.</t>
        </is>
      </c>
      <c r="M98" t="inlineStr">
        <is>
          <t>1982</t>
        </is>
      </c>
      <c r="O98" t="inlineStr">
        <is>
          <t>eng</t>
        </is>
      </c>
      <c r="P98" t="inlineStr">
        <is>
          <t>xxu</t>
        </is>
      </c>
      <c r="Q98" t="inlineStr">
        <is>
          <t>Concise medical library for practitioner and student</t>
        </is>
      </c>
      <c r="R98" t="inlineStr">
        <is>
          <t xml:space="preserve">QV </t>
        </is>
      </c>
      <c r="S98" t="n">
        <v>57</v>
      </c>
      <c r="T98" t="n">
        <v>57</v>
      </c>
      <c r="U98" t="inlineStr">
        <is>
          <t>2008-10-19</t>
        </is>
      </c>
      <c r="V98" t="inlineStr">
        <is>
          <t>2008-10-19</t>
        </is>
      </c>
      <c r="W98" t="inlineStr">
        <is>
          <t>1988-01-27</t>
        </is>
      </c>
      <c r="X98" t="inlineStr">
        <is>
          <t>1988-01-27</t>
        </is>
      </c>
      <c r="Y98" t="n">
        <v>142</v>
      </c>
      <c r="Z98" t="n">
        <v>107</v>
      </c>
      <c r="AA98" t="n">
        <v>1372</v>
      </c>
      <c r="AB98" t="n">
        <v>1</v>
      </c>
      <c r="AC98" t="n">
        <v>18</v>
      </c>
      <c r="AD98" t="n">
        <v>2</v>
      </c>
      <c r="AE98" t="n">
        <v>39</v>
      </c>
      <c r="AF98" t="n">
        <v>1</v>
      </c>
      <c r="AG98" t="n">
        <v>12</v>
      </c>
      <c r="AH98" t="n">
        <v>0</v>
      </c>
      <c r="AI98" t="n">
        <v>6</v>
      </c>
      <c r="AJ98" t="n">
        <v>1</v>
      </c>
      <c r="AK98" t="n">
        <v>16</v>
      </c>
      <c r="AL98" t="n">
        <v>0</v>
      </c>
      <c r="AM98" t="n">
        <v>11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HYPERLINK("https://creighton-primo.hosted.exlibrisgroup.com/primo-explore/search?tab=default_tab&amp;search_scope=EVERYTHING&amp;vid=01CRU&amp;lang=en_US&amp;offset=0&amp;query=any,contains,991000914819702656","Catalog Record")</f>
        <v/>
      </c>
      <c r="AT98">
        <f>HYPERLINK("http://www.worldcat.org/oclc/9033464","WorldCat Record")</f>
        <v/>
      </c>
    </row>
    <row r="99">
      <c r="A99" t="inlineStr">
        <is>
          <t>No</t>
        </is>
      </c>
      <c r="B99" t="inlineStr">
        <is>
          <t>QV 4 B3102 1992</t>
        </is>
      </c>
      <c r="C99" t="inlineStr">
        <is>
          <t>0                      QV 0004000B  3102        1992</t>
        </is>
      </c>
      <c r="D99" t="inlineStr">
        <is>
          <t>Basic &amp; clinical pharmacology / edited by Bertram G. Katzung.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3</t>
        </is>
      </c>
      <c r="L99" t="inlineStr">
        <is>
          <t>Norwalk, Conn. : Appleton &amp; Lange, c1992.</t>
        </is>
      </c>
      <c r="M99" t="inlineStr">
        <is>
          <t>1992</t>
        </is>
      </c>
      <c r="N99" t="inlineStr">
        <is>
          <t>5th ed.</t>
        </is>
      </c>
      <c r="O99" t="inlineStr">
        <is>
          <t>eng</t>
        </is>
      </c>
      <c r="P99" t="inlineStr">
        <is>
          <t>ctu</t>
        </is>
      </c>
      <c r="R99" t="inlineStr">
        <is>
          <t xml:space="preserve">QV </t>
        </is>
      </c>
      <c r="S99" t="n">
        <v>96</v>
      </c>
      <c r="T99" t="n">
        <v>96</v>
      </c>
      <c r="U99" t="inlineStr">
        <is>
          <t>2009-01-14</t>
        </is>
      </c>
      <c r="V99" t="inlineStr">
        <is>
          <t>2009-01-14</t>
        </is>
      </c>
      <c r="W99" t="inlineStr">
        <is>
          <t>1992-06-05</t>
        </is>
      </c>
      <c r="X99" t="inlineStr">
        <is>
          <t>1992-06-05</t>
        </is>
      </c>
      <c r="Y99" t="n">
        <v>156</v>
      </c>
      <c r="Z99" t="n">
        <v>108</v>
      </c>
      <c r="AA99" t="n">
        <v>1372</v>
      </c>
      <c r="AB99" t="n">
        <v>1</v>
      </c>
      <c r="AC99" t="n">
        <v>18</v>
      </c>
      <c r="AD99" t="n">
        <v>0</v>
      </c>
      <c r="AE99" t="n">
        <v>39</v>
      </c>
      <c r="AF99" t="n">
        <v>0</v>
      </c>
      <c r="AG99" t="n">
        <v>12</v>
      </c>
      <c r="AH99" t="n">
        <v>0</v>
      </c>
      <c r="AI99" t="n">
        <v>6</v>
      </c>
      <c r="AJ99" t="n">
        <v>0</v>
      </c>
      <c r="AK99" t="n">
        <v>16</v>
      </c>
      <c r="AL99" t="n">
        <v>0</v>
      </c>
      <c r="AM99" t="n">
        <v>11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HYPERLINK("https://creighton-primo.hosted.exlibrisgroup.com/primo-explore/search?tab=default_tab&amp;search_scope=EVERYTHING&amp;vid=01CRU&amp;lang=en_US&amp;offset=0&amp;query=any,contains,991001305969702656","Catalog Record")</f>
        <v/>
      </c>
      <c r="AT99">
        <f>HYPERLINK("http://www.worldcat.org/oclc/25662331","WorldCat Record")</f>
        <v/>
      </c>
    </row>
    <row r="100">
      <c r="A100" t="inlineStr">
        <is>
          <t>No</t>
        </is>
      </c>
      <c r="B100" t="inlineStr">
        <is>
          <t>QV 4 B3102 1995</t>
        </is>
      </c>
      <c r="C100" t="inlineStr">
        <is>
          <t>0                      QV 0004000B  3102        1995</t>
        </is>
      </c>
      <c r="D100" t="inlineStr">
        <is>
          <t>Basic &amp; clinical pharmacology / edited by Bertram G. Katzung.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Yes</t>
        </is>
      </c>
      <c r="J100" t="inlineStr">
        <is>
          <t>3</t>
        </is>
      </c>
      <c r="L100" t="inlineStr">
        <is>
          <t>Norwalk, Conn. : Appleton &amp; Lange, c1995.</t>
        </is>
      </c>
      <c r="M100" t="inlineStr">
        <is>
          <t>1995</t>
        </is>
      </c>
      <c r="N100" t="inlineStr">
        <is>
          <t>6th ed.</t>
        </is>
      </c>
      <c r="O100" t="inlineStr">
        <is>
          <t>eng</t>
        </is>
      </c>
      <c r="P100" t="inlineStr">
        <is>
          <t>ctu</t>
        </is>
      </c>
      <c r="R100" t="inlineStr">
        <is>
          <t xml:space="preserve">QV </t>
        </is>
      </c>
      <c r="S100" t="n">
        <v>203</v>
      </c>
      <c r="T100" t="n">
        <v>203</v>
      </c>
      <c r="U100" t="inlineStr">
        <is>
          <t>2008-10-19</t>
        </is>
      </c>
      <c r="V100" t="inlineStr">
        <is>
          <t>2008-10-19</t>
        </is>
      </c>
      <c r="W100" t="inlineStr">
        <is>
          <t>1995-05-11</t>
        </is>
      </c>
      <c r="X100" t="inlineStr">
        <is>
          <t>1995-05-11</t>
        </is>
      </c>
      <c r="Y100" t="n">
        <v>191</v>
      </c>
      <c r="Z100" t="n">
        <v>132</v>
      </c>
      <c r="AA100" t="n">
        <v>1372</v>
      </c>
      <c r="AB100" t="n">
        <v>1</v>
      </c>
      <c r="AC100" t="n">
        <v>18</v>
      </c>
      <c r="AD100" t="n">
        <v>1</v>
      </c>
      <c r="AE100" t="n">
        <v>39</v>
      </c>
      <c r="AF100" t="n">
        <v>0</v>
      </c>
      <c r="AG100" t="n">
        <v>12</v>
      </c>
      <c r="AH100" t="n">
        <v>0</v>
      </c>
      <c r="AI100" t="n">
        <v>6</v>
      </c>
      <c r="AJ100" t="n">
        <v>1</v>
      </c>
      <c r="AK100" t="n">
        <v>16</v>
      </c>
      <c r="AL100" t="n">
        <v>0</v>
      </c>
      <c r="AM100" t="n">
        <v>11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HYPERLINK("https://creighton-primo.hosted.exlibrisgroup.com/primo-explore/search?tab=default_tab&amp;search_scope=EVERYTHING&amp;vid=01CRU&amp;lang=en_US&amp;offset=0&amp;query=any,contains,991001400229702656","Catalog Record")</f>
        <v/>
      </c>
      <c r="AT100">
        <f>HYPERLINK("http://www.worldcat.org/oclc/31430586","WorldCat Record")</f>
        <v/>
      </c>
    </row>
    <row r="101">
      <c r="A101" t="inlineStr">
        <is>
          <t>No</t>
        </is>
      </c>
      <c r="B101" t="inlineStr">
        <is>
          <t>QV 4 B311 1982</t>
        </is>
      </c>
      <c r="C101" t="inlineStr">
        <is>
          <t>0                      QV 0004000B  311         1982</t>
        </is>
      </c>
      <c r="D101" t="inlineStr">
        <is>
          <t>Basic pharmacology in medicine / Joseph R. DiPalma, editor.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New York : McGraw-Hill, c1981.</t>
        </is>
      </c>
      <c r="M101" t="inlineStr">
        <is>
          <t>1982</t>
        </is>
      </c>
      <c r="N101" t="inlineStr">
        <is>
          <t>2nd ed.</t>
        </is>
      </c>
      <c r="O101" t="inlineStr">
        <is>
          <t>eng</t>
        </is>
      </c>
      <c r="P101" t="inlineStr">
        <is>
          <t>xxu</t>
        </is>
      </c>
      <c r="R101" t="inlineStr">
        <is>
          <t xml:space="preserve">QV </t>
        </is>
      </c>
      <c r="S101" t="n">
        <v>8</v>
      </c>
      <c r="T101" t="n">
        <v>8</v>
      </c>
      <c r="U101" t="inlineStr">
        <is>
          <t>1993-11-28</t>
        </is>
      </c>
      <c r="V101" t="inlineStr">
        <is>
          <t>1993-11-28</t>
        </is>
      </c>
      <c r="W101" t="inlineStr">
        <is>
          <t>1989-12-19</t>
        </is>
      </c>
      <c r="X101" t="inlineStr">
        <is>
          <t>1989-12-19</t>
        </is>
      </c>
      <c r="Y101" t="n">
        <v>34</v>
      </c>
      <c r="Z101" t="n">
        <v>30</v>
      </c>
      <c r="AA101" t="n">
        <v>241</v>
      </c>
      <c r="AB101" t="n">
        <v>1</v>
      </c>
      <c r="AC101" t="n">
        <v>4</v>
      </c>
      <c r="AD101" t="n">
        <v>0</v>
      </c>
      <c r="AE101" t="n">
        <v>7</v>
      </c>
      <c r="AF101" t="n">
        <v>0</v>
      </c>
      <c r="AG101" t="n">
        <v>1</v>
      </c>
      <c r="AH101" t="n">
        <v>0</v>
      </c>
      <c r="AI101" t="n">
        <v>2</v>
      </c>
      <c r="AJ101" t="n">
        <v>0</v>
      </c>
      <c r="AK101" t="n">
        <v>3</v>
      </c>
      <c r="AL101" t="n">
        <v>0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HYPERLINK("https://creighton-primo.hosted.exlibrisgroup.com/primo-explore/search?tab=default_tab&amp;search_scope=EVERYTHING&amp;vid=01CRU&amp;lang=en_US&amp;offset=0&amp;query=any,contains,991000522669702656","Catalog Record")</f>
        <v/>
      </c>
      <c r="AT101">
        <f>HYPERLINK("http://www.worldcat.org/oclc/7716677","WorldCat Record")</f>
        <v/>
      </c>
    </row>
    <row r="102">
      <c r="A102" t="inlineStr">
        <is>
          <t>No</t>
        </is>
      </c>
      <c r="B102" t="inlineStr">
        <is>
          <t>QV 4 B477m 1983</t>
        </is>
      </c>
      <c r="C102" t="inlineStr">
        <is>
          <t>0                      QV 0004000B  477m        1983</t>
        </is>
      </c>
      <c r="D102" t="inlineStr">
        <is>
          <t>Medical pharmacology / by Peter J. Bentley.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Bentley, P. J.</t>
        </is>
      </c>
      <c r="L102" t="inlineStr">
        <is>
          <t>New Hyde Park, N.Y. : Medical Examination Pub. Co., c1983.</t>
        </is>
      </c>
      <c r="M102" t="inlineStr">
        <is>
          <t>1983</t>
        </is>
      </c>
      <c r="O102" t="inlineStr">
        <is>
          <t>eng</t>
        </is>
      </c>
      <c r="P102" t="inlineStr">
        <is>
          <t>xxu</t>
        </is>
      </c>
      <c r="Q102" t="inlineStr">
        <is>
          <t>Medical outline series</t>
        </is>
      </c>
      <c r="R102" t="inlineStr">
        <is>
          <t xml:space="preserve">QV </t>
        </is>
      </c>
      <c r="S102" t="n">
        <v>11</v>
      </c>
      <c r="T102" t="n">
        <v>11</v>
      </c>
      <c r="U102" t="inlineStr">
        <is>
          <t>1999-07-22</t>
        </is>
      </c>
      <c r="V102" t="inlineStr">
        <is>
          <t>1999-07-22</t>
        </is>
      </c>
      <c r="W102" t="inlineStr">
        <is>
          <t>1988-01-27</t>
        </is>
      </c>
      <c r="X102" t="inlineStr">
        <is>
          <t>1988-01-27</t>
        </is>
      </c>
      <c r="Y102" t="n">
        <v>9</v>
      </c>
      <c r="Z102" t="n">
        <v>9</v>
      </c>
      <c r="AA102" t="n">
        <v>77</v>
      </c>
      <c r="AB102" t="n">
        <v>1</v>
      </c>
      <c r="AC102" t="n">
        <v>1</v>
      </c>
      <c r="AD102" t="n">
        <v>0</v>
      </c>
      <c r="AE102" t="n">
        <v>1</v>
      </c>
      <c r="AF102" t="n">
        <v>0</v>
      </c>
      <c r="AG102" t="n">
        <v>1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HYPERLINK("https://creighton-primo.hosted.exlibrisgroup.com/primo-explore/search?tab=default_tab&amp;search_scope=EVERYTHING&amp;vid=01CRU&amp;lang=en_US&amp;offset=0&amp;query=any,contains,991000914019702656","Catalog Record")</f>
        <v/>
      </c>
      <c r="AT102">
        <f>HYPERLINK("http://www.worldcat.org/oclc/8688632","WorldCat Record")</f>
        <v/>
      </c>
    </row>
    <row r="103">
      <c r="A103" t="inlineStr">
        <is>
          <t>No</t>
        </is>
      </c>
      <c r="B103" t="inlineStr">
        <is>
          <t>QV 4 C5678e 1982</t>
        </is>
      </c>
      <c r="C103" t="inlineStr">
        <is>
          <t>0                      QV 0004000C  5678e       1982</t>
        </is>
      </c>
      <c r="D103" t="inlineStr">
        <is>
          <t>Essentials of pharmacology / Margaret M. Cibulskis ; consultant, Freddy A. Grimm.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Lannon, Margaret C.</t>
        </is>
      </c>
      <c r="L103" t="inlineStr">
        <is>
          <t>Philadelphia : Lippincott, c1982.</t>
        </is>
      </c>
      <c r="M103" t="inlineStr">
        <is>
          <t>1982</t>
        </is>
      </c>
      <c r="O103" t="inlineStr">
        <is>
          <t>eng</t>
        </is>
      </c>
      <c r="P103" t="inlineStr">
        <is>
          <t>xxu</t>
        </is>
      </c>
      <c r="R103" t="inlineStr">
        <is>
          <t xml:space="preserve">QV </t>
        </is>
      </c>
      <c r="S103" t="n">
        <v>19</v>
      </c>
      <c r="T103" t="n">
        <v>19</v>
      </c>
      <c r="U103" t="inlineStr">
        <is>
          <t>2001-09-13</t>
        </is>
      </c>
      <c r="V103" t="inlineStr">
        <is>
          <t>2001-09-13</t>
        </is>
      </c>
      <c r="W103" t="inlineStr">
        <is>
          <t>1988-01-27</t>
        </is>
      </c>
      <c r="X103" t="inlineStr">
        <is>
          <t>1988-01-27</t>
        </is>
      </c>
      <c r="Y103" t="n">
        <v>72</v>
      </c>
      <c r="Z103" t="n">
        <v>63</v>
      </c>
      <c r="AA103" t="n">
        <v>63</v>
      </c>
      <c r="AB103" t="n">
        <v>1</v>
      </c>
      <c r="AC103" t="n">
        <v>1</v>
      </c>
      <c r="AD103" t="n">
        <v>2</v>
      </c>
      <c r="AE103" t="n">
        <v>2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HYPERLINK("https://creighton-primo.hosted.exlibrisgroup.com/primo-explore/search?tab=default_tab&amp;search_scope=EVERYTHING&amp;vid=01CRU&amp;lang=en_US&amp;offset=0&amp;query=any,contains,991000913629702656","Catalog Record")</f>
        <v/>
      </c>
      <c r="AT103">
        <f>HYPERLINK("http://www.worldcat.org/oclc/7577473","WorldCat Record")</f>
        <v/>
      </c>
    </row>
    <row r="104">
      <c r="A104" t="inlineStr">
        <is>
          <t>No</t>
        </is>
      </c>
      <c r="B104" t="inlineStr">
        <is>
          <t>QV 4 C596g 1991</t>
        </is>
      </c>
      <c r="C104" t="inlineStr">
        <is>
          <t>0                      QV 0004000C  596g        1991</t>
        </is>
      </c>
      <c r="D104" t="inlineStr">
        <is>
          <t>Goth's medical pharamacology.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Clark, Wesley G.</t>
        </is>
      </c>
      <c r="L104" t="inlineStr">
        <is>
          <t>St. Louis : Mosby-Year Book, c1991.</t>
        </is>
      </c>
      <c r="M104" t="inlineStr">
        <is>
          <t>1991</t>
        </is>
      </c>
      <c r="N104" t="inlineStr">
        <is>
          <t>13th ed. / Wesley G. Clark, D. Craig Brater, Alice R. Johnson.</t>
        </is>
      </c>
      <c r="O104" t="inlineStr">
        <is>
          <t>eng</t>
        </is>
      </c>
      <c r="P104" t="inlineStr">
        <is>
          <t>mou</t>
        </is>
      </c>
      <c r="R104" t="inlineStr">
        <is>
          <t xml:space="preserve">QV </t>
        </is>
      </c>
      <c r="S104" t="n">
        <v>23</v>
      </c>
      <c r="T104" t="n">
        <v>23</v>
      </c>
      <c r="U104" t="inlineStr">
        <is>
          <t>2000-04-24</t>
        </is>
      </c>
      <c r="V104" t="inlineStr">
        <is>
          <t>2000-04-24</t>
        </is>
      </c>
      <c r="W104" t="inlineStr">
        <is>
          <t>1992-02-13</t>
        </is>
      </c>
      <c r="X104" t="inlineStr">
        <is>
          <t>1992-02-13</t>
        </is>
      </c>
      <c r="Y104" t="n">
        <v>299</v>
      </c>
      <c r="Z104" t="n">
        <v>215</v>
      </c>
      <c r="AA104" t="n">
        <v>294</v>
      </c>
      <c r="AB104" t="n">
        <v>1</v>
      </c>
      <c r="AC104" t="n">
        <v>1</v>
      </c>
      <c r="AD104" t="n">
        <v>4</v>
      </c>
      <c r="AE104" t="n">
        <v>5</v>
      </c>
      <c r="AF104" t="n">
        <v>1</v>
      </c>
      <c r="AG104" t="n">
        <v>2</v>
      </c>
      <c r="AH104" t="n">
        <v>2</v>
      </c>
      <c r="AI104" t="n">
        <v>2</v>
      </c>
      <c r="AJ104" t="n">
        <v>1</v>
      </c>
      <c r="AK104" t="n">
        <v>1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HYPERLINK("http://catalog.hathitrust.org/Record/002499333","HathiTrust Record")</f>
        <v/>
      </c>
      <c r="AS104">
        <f>HYPERLINK("https://creighton-primo.hosted.exlibrisgroup.com/primo-explore/search?tab=default_tab&amp;search_scope=EVERYTHING&amp;vid=01CRU&amp;lang=en_US&amp;offset=0&amp;query=any,contains,991001032679702656","Catalog Record")</f>
        <v/>
      </c>
      <c r="AT104">
        <f>HYPERLINK("http://www.worldcat.org/oclc/24106311","WorldCat Record")</f>
        <v/>
      </c>
    </row>
    <row r="105">
      <c r="A105" t="inlineStr">
        <is>
          <t>No</t>
        </is>
      </c>
      <c r="B105" t="inlineStr">
        <is>
          <t>QV 4 C622m 1984</t>
        </is>
      </c>
      <c r="C105" t="inlineStr">
        <is>
          <t>0                      QV 0004000C  622m        1984</t>
        </is>
      </c>
      <c r="D105" t="inlineStr">
        <is>
          <t>Mosby's handbook of pharmacology in nursing.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Clayton, Bruce D., 1947-</t>
        </is>
      </c>
      <c r="L105" t="inlineStr">
        <is>
          <t>St. Louis : Mosby, 1984.</t>
        </is>
      </c>
      <c r="M105" t="inlineStr">
        <is>
          <t>1984</t>
        </is>
      </c>
      <c r="N105" t="inlineStr">
        <is>
          <t>3rd ed. / Bruce D. Clayton.</t>
        </is>
      </c>
      <c r="O105" t="inlineStr">
        <is>
          <t>eng</t>
        </is>
      </c>
      <c r="P105" t="inlineStr">
        <is>
          <t>xxu</t>
        </is>
      </c>
      <c r="R105" t="inlineStr">
        <is>
          <t xml:space="preserve">QV </t>
        </is>
      </c>
      <c r="S105" t="n">
        <v>3</v>
      </c>
      <c r="T105" t="n">
        <v>3</v>
      </c>
      <c r="U105" t="inlineStr">
        <is>
          <t>1991-09-16</t>
        </is>
      </c>
      <c r="V105" t="inlineStr">
        <is>
          <t>1991-09-16</t>
        </is>
      </c>
      <c r="W105" t="inlineStr">
        <is>
          <t>1987-09-27</t>
        </is>
      </c>
      <c r="X105" t="inlineStr">
        <is>
          <t>1987-09-27</t>
        </is>
      </c>
      <c r="Y105" t="n">
        <v>164</v>
      </c>
      <c r="Z105" t="n">
        <v>149</v>
      </c>
      <c r="AA105" t="n">
        <v>151</v>
      </c>
      <c r="AB105" t="n">
        <v>2</v>
      </c>
      <c r="AC105" t="n">
        <v>2</v>
      </c>
      <c r="AD105" t="n">
        <v>2</v>
      </c>
      <c r="AE105" t="n">
        <v>2</v>
      </c>
      <c r="AF105" t="n">
        <v>1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HYPERLINK("http://catalog.hathitrust.org/Record/000286238","HathiTrust Record")</f>
        <v/>
      </c>
      <c r="AS105">
        <f>HYPERLINK("https://creighton-primo.hosted.exlibrisgroup.com/primo-explore/search?tab=default_tab&amp;search_scope=EVERYTHING&amp;vid=01CRU&amp;lang=en_US&amp;offset=0&amp;query=any,contains,991000747219702656","Catalog Record")</f>
        <v/>
      </c>
      <c r="AT105">
        <f>HYPERLINK("http://www.worldcat.org/oclc/9757786","WorldCat Record")</f>
        <v/>
      </c>
    </row>
    <row r="106">
      <c r="A106" t="inlineStr">
        <is>
          <t>No</t>
        </is>
      </c>
      <c r="B106" t="inlineStr">
        <is>
          <t>QV 4 D793 1997</t>
        </is>
      </c>
      <c r="C106" t="inlineStr">
        <is>
          <t>0                      QV 0004000D  793         1997</t>
        </is>
      </c>
      <c r="D106" t="inlineStr">
        <is>
          <t>Avery's drug treatment : a guide to the properties, choice, therapeutic use and economic value of drugs in disease management / edited by Trevor M. Speight and Nicholas H.G. Holford.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Auckland, N.Z. ; Chester [Eng.] ; Philadelphia : Adis International, c1997.</t>
        </is>
      </c>
      <c r="M106" t="inlineStr">
        <is>
          <t>1997</t>
        </is>
      </c>
      <c r="N106" t="inlineStr">
        <is>
          <t>4th ed.</t>
        </is>
      </c>
      <c r="O106" t="inlineStr">
        <is>
          <t>eng</t>
        </is>
      </c>
      <c r="P106" t="inlineStr">
        <is>
          <t xml:space="preserve">nz </t>
        </is>
      </c>
      <c r="R106" t="inlineStr">
        <is>
          <t xml:space="preserve">QV </t>
        </is>
      </c>
      <c r="S106" t="n">
        <v>11</v>
      </c>
      <c r="T106" t="n">
        <v>11</v>
      </c>
      <c r="U106" t="inlineStr">
        <is>
          <t>1997-06-09</t>
        </is>
      </c>
      <c r="V106" t="inlineStr">
        <is>
          <t>1997-06-09</t>
        </is>
      </c>
      <c r="W106" t="inlineStr">
        <is>
          <t>1997-04-29</t>
        </is>
      </c>
      <c r="X106" t="inlineStr">
        <is>
          <t>1997-04-29</t>
        </is>
      </c>
      <c r="Y106" t="n">
        <v>209</v>
      </c>
      <c r="Z106" t="n">
        <v>112</v>
      </c>
      <c r="AA106" t="n">
        <v>113</v>
      </c>
      <c r="AB106" t="n">
        <v>1</v>
      </c>
      <c r="AC106" t="n">
        <v>1</v>
      </c>
      <c r="AD106" t="n">
        <v>3</v>
      </c>
      <c r="AE106" t="n">
        <v>3</v>
      </c>
      <c r="AF106" t="n">
        <v>2</v>
      </c>
      <c r="AG106" t="n">
        <v>2</v>
      </c>
      <c r="AH106" t="n">
        <v>0</v>
      </c>
      <c r="AI106" t="n">
        <v>0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HYPERLINK("https://creighton-primo.hosted.exlibrisgroup.com/primo-explore/search?tab=default_tab&amp;search_scope=EVERYTHING&amp;vid=01CRU&amp;lang=en_US&amp;offset=0&amp;query=any,contains,991001047369702656","Catalog Record")</f>
        <v/>
      </c>
      <c r="AT106">
        <f>HYPERLINK("http://www.worldcat.org/oclc/36719740","WorldCat Record")</f>
        <v/>
      </c>
    </row>
    <row r="107">
      <c r="A107" t="inlineStr">
        <is>
          <t>No</t>
        </is>
      </c>
      <c r="B107" t="inlineStr">
        <is>
          <t>QV 4 E21p 1992</t>
        </is>
      </c>
      <c r="C107" t="inlineStr">
        <is>
          <t>0                      QV 0004000E  21p         1992</t>
        </is>
      </c>
      <c r="D107" t="inlineStr">
        <is>
          <t>Physical therapy pharmacology / Lynne Eddy.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Eddy, Lynne.</t>
        </is>
      </c>
      <c r="L107" t="inlineStr">
        <is>
          <t>St. Louis : Mosby Year Book, c1992.</t>
        </is>
      </c>
      <c r="M107" t="inlineStr">
        <is>
          <t>1992</t>
        </is>
      </c>
      <c r="O107" t="inlineStr">
        <is>
          <t>eng</t>
        </is>
      </c>
      <c r="P107" t="inlineStr">
        <is>
          <t>mou</t>
        </is>
      </c>
      <c r="R107" t="inlineStr">
        <is>
          <t xml:space="preserve">QV </t>
        </is>
      </c>
      <c r="S107" t="n">
        <v>4</v>
      </c>
      <c r="T107" t="n">
        <v>4</v>
      </c>
      <c r="U107" t="inlineStr">
        <is>
          <t>2000-06-14</t>
        </is>
      </c>
      <c r="V107" t="inlineStr">
        <is>
          <t>2000-06-14</t>
        </is>
      </c>
      <c r="W107" t="inlineStr">
        <is>
          <t>1992-02-20</t>
        </is>
      </c>
      <c r="X107" t="inlineStr">
        <is>
          <t>1992-02-20</t>
        </is>
      </c>
      <c r="Y107" t="n">
        <v>182</v>
      </c>
      <c r="Z107" t="n">
        <v>155</v>
      </c>
      <c r="AA107" t="n">
        <v>157</v>
      </c>
      <c r="AB107" t="n">
        <v>1</v>
      </c>
      <c r="AC107" t="n">
        <v>1</v>
      </c>
      <c r="AD107" t="n">
        <v>4</v>
      </c>
      <c r="AE107" t="n">
        <v>4</v>
      </c>
      <c r="AF107" t="n">
        <v>3</v>
      </c>
      <c r="AG107" t="n">
        <v>3</v>
      </c>
      <c r="AH107" t="n">
        <v>1</v>
      </c>
      <c r="AI107" t="n">
        <v>1</v>
      </c>
      <c r="AJ107" t="n">
        <v>2</v>
      </c>
      <c r="AK107" t="n">
        <v>2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HYPERLINK("http://catalog.hathitrust.org/Record/002600353","HathiTrust Record")</f>
        <v/>
      </c>
      <c r="AS107">
        <f>HYPERLINK("https://creighton-primo.hosted.exlibrisgroup.com/primo-explore/search?tab=default_tab&amp;search_scope=EVERYTHING&amp;vid=01CRU&amp;lang=en_US&amp;offset=0&amp;query=any,contains,991001297399702656","Catalog Record")</f>
        <v/>
      </c>
      <c r="AT107">
        <f>HYPERLINK("http://www.worldcat.org/oclc/24626753","WorldCat Record")</f>
        <v/>
      </c>
    </row>
    <row r="108">
      <c r="A108" t="inlineStr">
        <is>
          <t>No</t>
        </is>
      </c>
      <c r="B108" t="inlineStr">
        <is>
          <t>QV 4 E78 1983</t>
        </is>
      </c>
      <c r="C108" t="inlineStr">
        <is>
          <t>0                      QV 0004000E  78          1983</t>
        </is>
      </c>
      <c r="D108" t="inlineStr">
        <is>
          <t>Essentials of pharmacology : introduction to the principles of drug action / editors, John A. Bevan, Jeremy H. Thompson.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Philadelphia : Harper &amp; Row, 1983.</t>
        </is>
      </c>
      <c r="M108" t="inlineStr">
        <is>
          <t>1983</t>
        </is>
      </c>
      <c r="N108" t="inlineStr">
        <is>
          <t>3rd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QV </t>
        </is>
      </c>
      <c r="S108" t="n">
        <v>58</v>
      </c>
      <c r="T108" t="n">
        <v>58</v>
      </c>
      <c r="U108" t="inlineStr">
        <is>
          <t>2004-12-13</t>
        </is>
      </c>
      <c r="V108" t="inlineStr">
        <is>
          <t>2004-12-13</t>
        </is>
      </c>
      <c r="W108" t="inlineStr">
        <is>
          <t>1987-09-28</t>
        </is>
      </c>
      <c r="X108" t="inlineStr">
        <is>
          <t>1987-09-28</t>
        </is>
      </c>
      <c r="Y108" t="n">
        <v>140</v>
      </c>
      <c r="Z108" t="n">
        <v>100</v>
      </c>
      <c r="AA108" t="n">
        <v>170</v>
      </c>
      <c r="AB108" t="n">
        <v>1</v>
      </c>
      <c r="AC108" t="n">
        <v>2</v>
      </c>
      <c r="AD108" t="n">
        <v>2</v>
      </c>
      <c r="AE108" t="n">
        <v>5</v>
      </c>
      <c r="AF108" t="n">
        <v>1</v>
      </c>
      <c r="AG108" t="n">
        <v>1</v>
      </c>
      <c r="AH108" t="n">
        <v>1</v>
      </c>
      <c r="AI108" t="n">
        <v>1</v>
      </c>
      <c r="AJ108" t="n">
        <v>0</v>
      </c>
      <c r="AK108" t="n">
        <v>2</v>
      </c>
      <c r="AL108" t="n">
        <v>0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HYPERLINK("http://catalog.hathitrust.org/Record/000204072","HathiTrust Record")</f>
        <v/>
      </c>
      <c r="AS108">
        <f>HYPERLINK("https://creighton-primo.hosted.exlibrisgroup.com/primo-explore/search?tab=default_tab&amp;search_scope=EVERYTHING&amp;vid=01CRU&amp;lang=en_US&amp;offset=0&amp;query=any,contains,991000747259702656","Catalog Record")</f>
        <v/>
      </c>
      <c r="AT108">
        <f>HYPERLINK("http://www.worldcat.org/oclc/9110763","WorldCat Record")</f>
        <v/>
      </c>
    </row>
    <row r="109">
      <c r="A109" t="inlineStr">
        <is>
          <t>No</t>
        </is>
      </c>
      <c r="B109" t="inlineStr">
        <is>
          <t>QV 4 G6532 1996</t>
        </is>
      </c>
      <c r="C109" t="inlineStr">
        <is>
          <t>0                      QV 0004000G  6532        1996</t>
        </is>
      </c>
      <c r="D109" t="inlineStr">
        <is>
          <t>Goodman &amp; Gilman's the pharmacological basis of therapeutics.</t>
        </is>
      </c>
      <c r="F109" t="inlineStr">
        <is>
          <t>No</t>
        </is>
      </c>
      <c r="G109" t="inlineStr">
        <is>
          <t>2</t>
        </is>
      </c>
      <c r="H109" t="inlineStr">
        <is>
          <t>No</t>
        </is>
      </c>
      <c r="I109" t="inlineStr">
        <is>
          <t>Yes</t>
        </is>
      </c>
      <c r="J109" t="inlineStr">
        <is>
          <t>1</t>
        </is>
      </c>
      <c r="L109" t="inlineStr">
        <is>
          <t>New York : McGraw-Hill, Health Professions Division, c1996.</t>
        </is>
      </c>
      <c r="M109" t="inlineStr">
        <is>
          <t>1996</t>
        </is>
      </c>
      <c r="N109" t="inlineStr">
        <is>
          <t>9th ed. / Joel G. G. Hardman, Alfred Gilman, Lee L. Limbird.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QV </t>
        </is>
      </c>
      <c r="S109" t="n">
        <v>209</v>
      </c>
      <c r="T109" t="n">
        <v>209</v>
      </c>
      <c r="U109" t="inlineStr">
        <is>
          <t>2004-11-14</t>
        </is>
      </c>
      <c r="V109" t="inlineStr">
        <is>
          <t>2004-11-14</t>
        </is>
      </c>
      <c r="W109" t="inlineStr">
        <is>
          <t>1996-01-12</t>
        </is>
      </c>
      <c r="X109" t="inlineStr">
        <is>
          <t>1996-01-12</t>
        </is>
      </c>
      <c r="Y109" t="n">
        <v>765</v>
      </c>
      <c r="Z109" t="n">
        <v>561</v>
      </c>
      <c r="AA109" t="n">
        <v>1895</v>
      </c>
      <c r="AB109" t="n">
        <v>2</v>
      </c>
      <c r="AC109" t="n">
        <v>7</v>
      </c>
      <c r="AD109" t="n">
        <v>8</v>
      </c>
      <c r="AE109" t="n">
        <v>45</v>
      </c>
      <c r="AF109" t="n">
        <v>4</v>
      </c>
      <c r="AG109" t="n">
        <v>23</v>
      </c>
      <c r="AH109" t="n">
        <v>2</v>
      </c>
      <c r="AI109" t="n">
        <v>9</v>
      </c>
      <c r="AJ109" t="n">
        <v>4</v>
      </c>
      <c r="AK109" t="n">
        <v>20</v>
      </c>
      <c r="AL109" t="n">
        <v>0</v>
      </c>
      <c r="AM109" t="n">
        <v>2</v>
      </c>
      <c r="AN109" t="n">
        <v>0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HYPERLINK("http://catalog.hathitrust.org/Record/003021364","HathiTrust Record")</f>
        <v/>
      </c>
      <c r="AS109">
        <f>HYPERLINK("https://creighton-primo.hosted.exlibrisgroup.com/primo-explore/search?tab=default_tab&amp;search_scope=EVERYTHING&amp;vid=01CRU&amp;lang=en_US&amp;offset=0&amp;query=any,contains,991000841779702656","Catalog Record")</f>
        <v/>
      </c>
      <c r="AT109">
        <f>HYPERLINK("http://www.worldcat.org/oclc/33008049","WorldCat Record")</f>
        <v/>
      </c>
    </row>
    <row r="110">
      <c r="A110" t="inlineStr">
        <is>
          <t>No</t>
        </is>
      </c>
      <c r="B110" t="inlineStr">
        <is>
          <t>QV 4 G684m 1988</t>
        </is>
      </c>
      <c r="C110" t="inlineStr">
        <is>
          <t>0                      QV 0004000G  684m        1988</t>
        </is>
      </c>
      <c r="D110" t="inlineStr">
        <is>
          <t>Goth's medical pharmacology.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Goth, Andres, 1914-1990.</t>
        </is>
      </c>
      <c r="L110" t="inlineStr">
        <is>
          <t>St. Louis : Mosby, c1988.</t>
        </is>
      </c>
      <c r="M110" t="inlineStr">
        <is>
          <t>1988</t>
        </is>
      </c>
      <c r="N110" t="inlineStr">
        <is>
          <t>12th ed. / Wesley G. Clark, D. Craig Brater, Alice R. Johnson.</t>
        </is>
      </c>
      <c r="O110" t="inlineStr">
        <is>
          <t>eng</t>
        </is>
      </c>
      <c r="P110" t="inlineStr">
        <is>
          <t>xxu</t>
        </is>
      </c>
      <c r="R110" t="inlineStr">
        <is>
          <t xml:space="preserve">QV </t>
        </is>
      </c>
      <c r="S110" t="n">
        <v>42</v>
      </c>
      <c r="T110" t="n">
        <v>42</v>
      </c>
      <c r="U110" t="inlineStr">
        <is>
          <t>2004-08-24</t>
        </is>
      </c>
      <c r="V110" t="inlineStr">
        <is>
          <t>2004-08-24</t>
        </is>
      </c>
      <c r="W110" t="inlineStr">
        <is>
          <t>1990-10-05</t>
        </is>
      </c>
      <c r="X110" t="inlineStr">
        <is>
          <t>1990-10-05</t>
        </is>
      </c>
      <c r="Y110" t="n">
        <v>234</v>
      </c>
      <c r="Z110" t="n">
        <v>176</v>
      </c>
      <c r="AA110" t="n">
        <v>294</v>
      </c>
      <c r="AB110" t="n">
        <v>1</v>
      </c>
      <c r="AC110" t="n">
        <v>1</v>
      </c>
      <c r="AD110" t="n">
        <v>3</v>
      </c>
      <c r="AE110" t="n">
        <v>5</v>
      </c>
      <c r="AF110" t="n">
        <v>2</v>
      </c>
      <c r="AG110" t="n">
        <v>2</v>
      </c>
      <c r="AH110" t="n">
        <v>1</v>
      </c>
      <c r="AI110" t="n">
        <v>2</v>
      </c>
      <c r="AJ110" t="n">
        <v>0</v>
      </c>
      <c r="AK110" t="n">
        <v>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HYPERLINK("http://catalog.hathitrust.org/Record/000906549","HathiTrust Record")</f>
        <v/>
      </c>
      <c r="AS110">
        <f>HYPERLINK("https://creighton-primo.hosted.exlibrisgroup.com/primo-explore/search?tab=default_tab&amp;search_scope=EVERYTHING&amp;vid=01CRU&amp;lang=en_US&amp;offset=0&amp;query=any,contains,991000764269702656","Catalog Record")</f>
        <v/>
      </c>
      <c r="AT110">
        <f>HYPERLINK("http://www.worldcat.org/oclc/16682259","WorldCat Record")</f>
        <v/>
      </c>
    </row>
    <row r="111">
      <c r="A111" t="inlineStr">
        <is>
          <t>No</t>
        </is>
      </c>
      <c r="B111" t="inlineStr">
        <is>
          <t>QV 4 H148p 1986</t>
        </is>
      </c>
      <c r="C111" t="inlineStr">
        <is>
          <t>0                      QV 0004000H  148p        1986</t>
        </is>
      </c>
      <c r="D111" t="inlineStr">
        <is>
          <t>Mosby's pharmacology in nursing / Anne Burgess Hahn, Sandy Jeanne Klarman Oestreich, Robert L. Barkin.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Hahn, Anne Burgess.</t>
        </is>
      </c>
      <c r="L111" t="inlineStr">
        <is>
          <t>St. Louis : Mosby, c1986.</t>
        </is>
      </c>
      <c r="M111" t="inlineStr">
        <is>
          <t>1986</t>
        </is>
      </c>
      <c r="N111" t="inlineStr">
        <is>
          <t>16th ed.</t>
        </is>
      </c>
      <c r="O111" t="inlineStr">
        <is>
          <t>eng</t>
        </is>
      </c>
      <c r="P111" t="inlineStr">
        <is>
          <t>xxu</t>
        </is>
      </c>
      <c r="R111" t="inlineStr">
        <is>
          <t xml:space="preserve">QV </t>
        </is>
      </c>
      <c r="S111" t="n">
        <v>5</v>
      </c>
      <c r="T111" t="n">
        <v>5</v>
      </c>
      <c r="U111" t="inlineStr">
        <is>
          <t>1997-06-24</t>
        </is>
      </c>
      <c r="V111" t="inlineStr">
        <is>
          <t>1997-06-24</t>
        </is>
      </c>
      <c r="W111" t="inlineStr">
        <is>
          <t>1987-09-28</t>
        </is>
      </c>
      <c r="X111" t="inlineStr">
        <is>
          <t>1987-09-28</t>
        </is>
      </c>
      <c r="Y111" t="n">
        <v>243</v>
      </c>
      <c r="Z111" t="n">
        <v>207</v>
      </c>
      <c r="AA111" t="n">
        <v>209</v>
      </c>
      <c r="AB111" t="n">
        <v>1</v>
      </c>
      <c r="AC111" t="n">
        <v>1</v>
      </c>
      <c r="AD111" t="n">
        <v>4</v>
      </c>
      <c r="AE111" t="n">
        <v>4</v>
      </c>
      <c r="AF111" t="n">
        <v>2</v>
      </c>
      <c r="AG111" t="n">
        <v>2</v>
      </c>
      <c r="AH111" t="n">
        <v>0</v>
      </c>
      <c r="AI111" t="n">
        <v>0</v>
      </c>
      <c r="AJ111" t="n">
        <v>3</v>
      </c>
      <c r="AK111" t="n">
        <v>3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HYPERLINK("http://catalog.hathitrust.org/Record/000427080","HathiTrust Record")</f>
        <v/>
      </c>
      <c r="AS111">
        <f>HYPERLINK("https://creighton-primo.hosted.exlibrisgroup.com/primo-explore/search?tab=default_tab&amp;search_scope=EVERYTHING&amp;vid=01CRU&amp;lang=en_US&amp;offset=0&amp;query=any,contains,991000747329702656","Catalog Record")</f>
        <v/>
      </c>
      <c r="AT111">
        <f>HYPERLINK("http://www.worldcat.org/oclc/12558387","WorldCat Record")</f>
        <v/>
      </c>
    </row>
    <row r="112">
      <c r="A112" t="inlineStr">
        <is>
          <t>No</t>
        </is>
      </c>
      <c r="B112" t="inlineStr">
        <is>
          <t>QV 4 H675b 1987</t>
        </is>
      </c>
      <c r="C112" t="inlineStr">
        <is>
          <t>0                      QV 0004000H  675b        1987</t>
        </is>
      </c>
      <c r="D112" t="inlineStr">
        <is>
          <t>Basic pharmacology for health occupations / Henry Hitner, Barbara T. Nagle.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Hitner, Henry.</t>
        </is>
      </c>
      <c r="L112" t="inlineStr">
        <is>
          <t>Encino, Calif. : Glencoe Publishing Co., c1987.</t>
        </is>
      </c>
      <c r="M112" t="inlineStr">
        <is>
          <t>1987</t>
        </is>
      </c>
      <c r="N112" t="inlineStr">
        <is>
          <t>2nd ed.</t>
        </is>
      </c>
      <c r="O112" t="inlineStr">
        <is>
          <t>eng</t>
        </is>
      </c>
      <c r="P112" t="inlineStr">
        <is>
          <t>cau</t>
        </is>
      </c>
      <c r="R112" t="inlineStr">
        <is>
          <t xml:space="preserve">QV </t>
        </is>
      </c>
      <c r="S112" t="n">
        <v>22</v>
      </c>
      <c r="T112" t="n">
        <v>22</v>
      </c>
      <c r="U112" t="inlineStr">
        <is>
          <t>1994-02-23</t>
        </is>
      </c>
      <c r="V112" t="inlineStr">
        <is>
          <t>1994-02-23</t>
        </is>
      </c>
      <c r="W112" t="inlineStr">
        <is>
          <t>1988-01-27</t>
        </is>
      </c>
      <c r="X112" t="inlineStr">
        <is>
          <t>1988-01-27</t>
        </is>
      </c>
      <c r="Y112" t="n">
        <v>22</v>
      </c>
      <c r="Z112" t="n">
        <v>18</v>
      </c>
      <c r="AA112" t="n">
        <v>119</v>
      </c>
      <c r="AB112" t="n">
        <v>1</v>
      </c>
      <c r="AC112" t="n">
        <v>3</v>
      </c>
      <c r="AD112" t="n">
        <v>0</v>
      </c>
      <c r="AE112" t="n">
        <v>2</v>
      </c>
      <c r="AF112" t="n">
        <v>0</v>
      </c>
      <c r="AG112" t="n">
        <v>1</v>
      </c>
      <c r="AH112" t="n">
        <v>0</v>
      </c>
      <c r="AI112" t="n">
        <v>0</v>
      </c>
      <c r="AJ112" t="n">
        <v>0</v>
      </c>
      <c r="AK112" t="n">
        <v>1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HYPERLINK("https://creighton-primo.hosted.exlibrisgroup.com/primo-explore/search?tab=default_tab&amp;search_scope=EVERYTHING&amp;vid=01CRU&amp;lang=en_US&amp;offset=0&amp;query=any,contains,991000917189702656","Catalog Record")</f>
        <v/>
      </c>
      <c r="AT112">
        <f>HYPERLINK("http://www.worldcat.org/oclc/14548861","WorldCat Record")</f>
        <v/>
      </c>
    </row>
    <row r="113">
      <c r="A113" t="inlineStr">
        <is>
          <t>No</t>
        </is>
      </c>
      <c r="B113" t="inlineStr">
        <is>
          <t>QV 4 H918 1991</t>
        </is>
      </c>
      <c r="C113" t="inlineStr">
        <is>
          <t>0                      QV 0004000H  918         1991</t>
        </is>
      </c>
      <c r="D113" t="inlineStr">
        <is>
          <t>Human pharmacology : molecular-to-clinical / Lemuel B. Wingard, Jr. ... [et al.].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St. Louis : Mosby Year Book, c1991.</t>
        </is>
      </c>
      <c r="M113" t="inlineStr">
        <is>
          <t>1991</t>
        </is>
      </c>
      <c r="O113" t="inlineStr">
        <is>
          <t>eng</t>
        </is>
      </c>
      <c r="P113" t="inlineStr">
        <is>
          <t>xxu</t>
        </is>
      </c>
      <c r="R113" t="inlineStr">
        <is>
          <t xml:space="preserve">QV </t>
        </is>
      </c>
      <c r="S113" t="n">
        <v>65</v>
      </c>
      <c r="T113" t="n">
        <v>65</v>
      </c>
      <c r="U113" t="inlineStr">
        <is>
          <t>2006-07-21</t>
        </is>
      </c>
      <c r="V113" t="inlineStr">
        <is>
          <t>2006-07-21</t>
        </is>
      </c>
      <c r="W113" t="inlineStr">
        <is>
          <t>1991-09-19</t>
        </is>
      </c>
      <c r="X113" t="inlineStr">
        <is>
          <t>1991-09-19</t>
        </is>
      </c>
      <c r="Y113" t="n">
        <v>153</v>
      </c>
      <c r="Z113" t="n">
        <v>98</v>
      </c>
      <c r="AA113" t="n">
        <v>105</v>
      </c>
      <c r="AB113" t="n">
        <v>1</v>
      </c>
      <c r="AC113" t="n">
        <v>1</v>
      </c>
      <c r="AD113" t="n">
        <v>2</v>
      </c>
      <c r="AE113" t="n">
        <v>2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2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HYPERLINK("http://catalog.hathitrust.org/Record/002441641","HathiTrust Record")</f>
        <v/>
      </c>
      <c r="AS113">
        <f>HYPERLINK("https://creighton-primo.hosted.exlibrisgroup.com/primo-explore/search?tab=default_tab&amp;search_scope=EVERYTHING&amp;vid=01CRU&amp;lang=en_US&amp;offset=0&amp;query=any,contains,991001016879702656","Catalog Record")</f>
        <v/>
      </c>
      <c r="AT113">
        <f>HYPERLINK("http://www.worldcat.org/oclc/22813584","WorldCat Record")</f>
        <v/>
      </c>
    </row>
    <row r="114">
      <c r="A114" t="inlineStr">
        <is>
          <t>No</t>
        </is>
      </c>
      <c r="B114" t="inlineStr">
        <is>
          <t>QV4 H918 1998</t>
        </is>
      </c>
      <c r="C114" t="inlineStr">
        <is>
          <t>0                      QV 0004000H  918         1998</t>
        </is>
      </c>
      <c r="D114" t="inlineStr">
        <is>
          <t>Human pharmacology : molecular to clinical / [edited by] Theodore M. Brody, Joseph Larner, Kenneth P. Minneman.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St. Louis : Mosby, c1998.</t>
        </is>
      </c>
      <c r="M114" t="inlineStr">
        <is>
          <t>1998</t>
        </is>
      </c>
      <c r="N114" t="inlineStr">
        <is>
          <t>3rd ed.</t>
        </is>
      </c>
      <c r="O114" t="inlineStr">
        <is>
          <t>eng</t>
        </is>
      </c>
      <c r="P114" t="inlineStr">
        <is>
          <t>mou</t>
        </is>
      </c>
      <c r="R114" t="inlineStr">
        <is>
          <t xml:space="preserve">QV </t>
        </is>
      </c>
      <c r="S114" t="n">
        <v>16</v>
      </c>
      <c r="T114" t="n">
        <v>16</v>
      </c>
      <c r="U114" t="inlineStr">
        <is>
          <t>2006-10-03</t>
        </is>
      </c>
      <c r="V114" t="inlineStr">
        <is>
          <t>2006-10-03</t>
        </is>
      </c>
      <c r="W114" t="inlineStr">
        <is>
          <t>2002-07-09</t>
        </is>
      </c>
      <c r="X114" t="inlineStr">
        <is>
          <t>2002-07-09</t>
        </is>
      </c>
      <c r="Y114" t="n">
        <v>292</v>
      </c>
      <c r="Z114" t="n">
        <v>163</v>
      </c>
      <c r="AA114" t="n">
        <v>217</v>
      </c>
      <c r="AB114" t="n">
        <v>1</v>
      </c>
      <c r="AC114" t="n">
        <v>1</v>
      </c>
      <c r="AD114" t="n">
        <v>5</v>
      </c>
      <c r="AE114" t="n">
        <v>7</v>
      </c>
      <c r="AF114" t="n">
        <v>1</v>
      </c>
      <c r="AG114" t="n">
        <v>2</v>
      </c>
      <c r="AH114" t="n">
        <v>2</v>
      </c>
      <c r="AI114" t="n">
        <v>3</v>
      </c>
      <c r="AJ114" t="n">
        <v>3</v>
      </c>
      <c r="AK114" t="n">
        <v>4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HYPERLINK("http://catalog.hathitrust.org/Record/003951115","HathiTrust Record")</f>
        <v/>
      </c>
      <c r="AS114">
        <f>HYPERLINK("https://creighton-primo.hosted.exlibrisgroup.com/primo-explore/search?tab=default_tab&amp;search_scope=EVERYTHING&amp;vid=01CRU&amp;lang=en_US&amp;offset=0&amp;query=any,contains,991000324069702656","Catalog Record")</f>
        <v/>
      </c>
      <c r="AT114">
        <f>HYPERLINK("http://www.worldcat.org/oclc/37180371","WorldCat Record")</f>
        <v/>
      </c>
    </row>
    <row r="115">
      <c r="A115" t="inlineStr">
        <is>
          <t>No</t>
        </is>
      </c>
      <c r="B115" t="inlineStr">
        <is>
          <t>QV4 H918 2005</t>
        </is>
      </c>
      <c r="C115" t="inlineStr">
        <is>
          <t>0                      QV 0004000H  918         2005</t>
        </is>
      </c>
      <c r="D115" t="inlineStr">
        <is>
          <t>Brody's human pharmacology : molecular to clinical / editors, Kenneth P. Minneman, Lynn Wecker ; consulting editors, Joseph Larner, Theodrore M. Brody.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Philadelphia, Pa. : Elsvier Mosby, c2005.</t>
        </is>
      </c>
      <c r="M115" t="inlineStr">
        <is>
          <t>2005</t>
        </is>
      </c>
      <c r="N115" t="inlineStr">
        <is>
          <t>4th ed.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QV </t>
        </is>
      </c>
      <c r="S115" t="n">
        <v>9</v>
      </c>
      <c r="T115" t="n">
        <v>9</v>
      </c>
      <c r="U115" t="inlineStr">
        <is>
          <t>2010-01-03</t>
        </is>
      </c>
      <c r="V115" t="inlineStr">
        <is>
          <t>2010-01-03</t>
        </is>
      </c>
      <c r="W115" t="inlineStr">
        <is>
          <t>2006-01-12</t>
        </is>
      </c>
      <c r="X115" t="inlineStr">
        <is>
          <t>2006-01-12</t>
        </is>
      </c>
      <c r="Y115" t="n">
        <v>224</v>
      </c>
      <c r="Z115" t="n">
        <v>127</v>
      </c>
      <c r="AA115" t="n">
        <v>296</v>
      </c>
      <c r="AB115" t="n">
        <v>1</v>
      </c>
      <c r="AC115" t="n">
        <v>2</v>
      </c>
      <c r="AD115" t="n">
        <v>3</v>
      </c>
      <c r="AE115" t="n">
        <v>10</v>
      </c>
      <c r="AF115" t="n">
        <v>2</v>
      </c>
      <c r="AG115" t="n">
        <v>6</v>
      </c>
      <c r="AH115" t="n">
        <v>1</v>
      </c>
      <c r="AI115" t="n">
        <v>1</v>
      </c>
      <c r="AJ115" t="n">
        <v>1</v>
      </c>
      <c r="AK115" t="n">
        <v>4</v>
      </c>
      <c r="AL115" t="n">
        <v>0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HYPERLINK("https://creighton-primo.hosted.exlibrisgroup.com/primo-explore/search?tab=default_tab&amp;search_scope=EVERYTHING&amp;vid=01CRU&amp;lang=en_US&amp;offset=0&amp;query=any,contains,991000455189702656","Catalog Record")</f>
        <v/>
      </c>
      <c r="AT115">
        <f>HYPERLINK("http://www.worldcat.org/oclc/58526990","WorldCat Record")</f>
        <v/>
      </c>
    </row>
    <row r="116">
      <c r="A116" t="inlineStr">
        <is>
          <t>No</t>
        </is>
      </c>
      <c r="B116" t="inlineStr">
        <is>
          <t>QV 4 I58 1986 sec.120</t>
        </is>
      </c>
      <c r="C116" t="inlineStr">
        <is>
          <t>0                      QV 0004000I  58          1986                                        sec.120</t>
        </is>
      </c>
      <c r="D116" t="inlineStr">
        <is>
          <t>Methods of drug delivery / section editor, Garret M. Ihler.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Oxford ; New York : Pergamon Press, 1986.</t>
        </is>
      </c>
      <c r="M116" t="inlineStr">
        <is>
          <t>1986</t>
        </is>
      </c>
      <c r="N116" t="inlineStr">
        <is>
          <t>1st ed.</t>
        </is>
      </c>
      <c r="O116" t="inlineStr">
        <is>
          <t>eng</t>
        </is>
      </c>
      <c r="P116" t="inlineStr">
        <is>
          <t>enk</t>
        </is>
      </c>
      <c r="Q116" t="inlineStr">
        <is>
          <t>International encyclopedia of pharmacology and therapeutics ; section 120</t>
        </is>
      </c>
      <c r="R116" t="inlineStr">
        <is>
          <t xml:space="preserve">QV </t>
        </is>
      </c>
      <c r="S116" t="n">
        <v>8</v>
      </c>
      <c r="T116" t="n">
        <v>8</v>
      </c>
      <c r="U116" t="inlineStr">
        <is>
          <t>1988-10-04</t>
        </is>
      </c>
      <c r="V116" t="inlineStr">
        <is>
          <t>1988-10-04</t>
        </is>
      </c>
      <c r="W116" t="inlineStr">
        <is>
          <t>1988-08-25</t>
        </is>
      </c>
      <c r="X116" t="inlineStr">
        <is>
          <t>1988-08-25</t>
        </is>
      </c>
      <c r="Y116" t="n">
        <v>106</v>
      </c>
      <c r="Z116" t="n">
        <v>79</v>
      </c>
      <c r="AA116" t="n">
        <v>81</v>
      </c>
      <c r="AB116" t="n">
        <v>1</v>
      </c>
      <c r="AC116" t="n">
        <v>1</v>
      </c>
      <c r="AD116" t="n">
        <v>3</v>
      </c>
      <c r="AE116" t="n">
        <v>3</v>
      </c>
      <c r="AF116" t="n">
        <v>1</v>
      </c>
      <c r="AG116" t="n">
        <v>1</v>
      </c>
      <c r="AH116" t="n">
        <v>1</v>
      </c>
      <c r="AI116" t="n">
        <v>1</v>
      </c>
      <c r="AJ116" t="n">
        <v>2</v>
      </c>
      <c r="AK116" t="n">
        <v>2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HYPERLINK("http://catalog.hathitrust.org/Record/000481212","HathiTrust Record")</f>
        <v/>
      </c>
      <c r="AS116">
        <f>HYPERLINK("https://creighton-primo.hosted.exlibrisgroup.com/primo-explore/search?tab=default_tab&amp;search_scope=EVERYTHING&amp;vid=01CRU&amp;lang=en_US&amp;offset=0&amp;query=any,contains,991001422879702656","Catalog Record")</f>
        <v/>
      </c>
      <c r="AT116">
        <f>HYPERLINK("http://www.worldcat.org/oclc/12345052","WorldCat Record")</f>
        <v/>
      </c>
    </row>
    <row r="117">
      <c r="A117" t="inlineStr">
        <is>
          <t>No</t>
        </is>
      </c>
      <c r="B117" t="inlineStr">
        <is>
          <t>QV 4 I58 1987 sec.127</t>
        </is>
      </c>
      <c r="C117" t="inlineStr">
        <is>
          <t>0                      QV 0004000I  58          1987                                        sec.127</t>
        </is>
      </c>
      <c r="D117" t="inlineStr">
        <is>
          <t>Antibiotic inhibitors of bacterial cell wall biosynthesis / section editor, Donald J. Tipper.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Oxford ; New York : Pergamon Press, c1987.</t>
        </is>
      </c>
      <c r="M117" t="inlineStr">
        <is>
          <t>1987</t>
        </is>
      </c>
      <c r="N117" t="inlineStr">
        <is>
          <t>1st ed.</t>
        </is>
      </c>
      <c r="O117" t="inlineStr">
        <is>
          <t>eng</t>
        </is>
      </c>
      <c r="P117" t="inlineStr">
        <is>
          <t>enk</t>
        </is>
      </c>
      <c r="Q117" t="inlineStr">
        <is>
          <t>International encyclopedia of pharmacology and therapeutics ; section 127</t>
        </is>
      </c>
      <c r="R117" t="inlineStr">
        <is>
          <t xml:space="preserve">QV </t>
        </is>
      </c>
      <c r="S117" t="n">
        <v>5</v>
      </c>
      <c r="T117" t="n">
        <v>5</v>
      </c>
      <c r="U117" t="inlineStr">
        <is>
          <t>1998-10-11</t>
        </is>
      </c>
      <c r="V117" t="inlineStr">
        <is>
          <t>1998-10-11</t>
        </is>
      </c>
      <c r="W117" t="inlineStr">
        <is>
          <t>1988-05-10</t>
        </is>
      </c>
      <c r="X117" t="inlineStr">
        <is>
          <t>1988-05-10</t>
        </is>
      </c>
      <c r="Y117" t="n">
        <v>103</v>
      </c>
      <c r="Z117" t="n">
        <v>71</v>
      </c>
      <c r="AA117" t="n">
        <v>73</v>
      </c>
      <c r="AB117" t="n">
        <v>1</v>
      </c>
      <c r="AC117" t="n">
        <v>1</v>
      </c>
      <c r="AD117" t="n">
        <v>3</v>
      </c>
      <c r="AE117" t="n">
        <v>3</v>
      </c>
      <c r="AF117" t="n">
        <v>1</v>
      </c>
      <c r="AG117" t="n">
        <v>1</v>
      </c>
      <c r="AH117" t="n">
        <v>1</v>
      </c>
      <c r="AI117" t="n">
        <v>1</v>
      </c>
      <c r="AJ117" t="n">
        <v>2</v>
      </c>
      <c r="AK117" t="n">
        <v>2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HYPERLINK("http://catalog.hathitrust.org/Record/000866361","HathiTrust Record")</f>
        <v/>
      </c>
      <c r="AS117">
        <f>HYPERLINK("https://creighton-primo.hosted.exlibrisgroup.com/primo-explore/search?tab=default_tab&amp;search_scope=EVERYTHING&amp;vid=01CRU&amp;lang=en_US&amp;offset=0&amp;query=any,contains,991001190569702656","Catalog Record")</f>
        <v/>
      </c>
      <c r="AT117">
        <f>HYPERLINK("http://www.worldcat.org/oclc/16404880","WorldCat Record")</f>
        <v/>
      </c>
    </row>
    <row r="118">
      <c r="A118" t="inlineStr">
        <is>
          <t>No</t>
        </is>
      </c>
      <c r="B118" t="inlineStr">
        <is>
          <t>QV 4 I58 1990 sect.130</t>
        </is>
      </c>
      <c r="C118" t="inlineStr">
        <is>
          <t>0                      QV 0004000I  58          1990                                        sect.130</t>
        </is>
      </c>
      <c r="D118" t="inlineStr">
        <is>
          <t>Psychotropic drugs of abuse / specialist subject editor, D.J.K. Balfour.</t>
        </is>
      </c>
      <c r="E118" t="inlineStr">
        <is>
          <t>sect.130*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New York : Pergamon Press, c1990.</t>
        </is>
      </c>
      <c r="M118" t="inlineStr">
        <is>
          <t>1990</t>
        </is>
      </c>
      <c r="O118" t="inlineStr">
        <is>
          <t>eng</t>
        </is>
      </c>
      <c r="P118" t="inlineStr">
        <is>
          <t>xxu</t>
        </is>
      </c>
      <c r="Q118" t="inlineStr">
        <is>
          <t>International encyclopedia of pharmacology and therapeutics ; section 130</t>
        </is>
      </c>
      <c r="R118" t="inlineStr">
        <is>
          <t xml:space="preserve">QV </t>
        </is>
      </c>
      <c r="S118" t="n">
        <v>5</v>
      </c>
      <c r="T118" t="n">
        <v>5</v>
      </c>
      <c r="U118" t="inlineStr">
        <is>
          <t>1997-11-19</t>
        </is>
      </c>
      <c r="V118" t="inlineStr">
        <is>
          <t>1997-11-19</t>
        </is>
      </c>
      <c r="W118" t="inlineStr">
        <is>
          <t>1990-08-09</t>
        </is>
      </c>
      <c r="X118" t="inlineStr">
        <is>
          <t>1990-08-09</t>
        </is>
      </c>
      <c r="Y118" t="n">
        <v>138</v>
      </c>
      <c r="Z118" t="n">
        <v>103</v>
      </c>
      <c r="AA118" t="n">
        <v>111</v>
      </c>
      <c r="AB118" t="n">
        <v>1</v>
      </c>
      <c r="AC118" t="n">
        <v>1</v>
      </c>
      <c r="AD118" t="n">
        <v>4</v>
      </c>
      <c r="AE118" t="n">
        <v>5</v>
      </c>
      <c r="AF118" t="n">
        <v>1</v>
      </c>
      <c r="AG118" t="n">
        <v>2</v>
      </c>
      <c r="AH118" t="n">
        <v>0</v>
      </c>
      <c r="AI118" t="n">
        <v>0</v>
      </c>
      <c r="AJ118" t="n">
        <v>4</v>
      </c>
      <c r="AK118" t="n">
        <v>4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HYPERLINK("http://catalog.hathitrust.org/Record/002064565","HathiTrust Record")</f>
        <v/>
      </c>
      <c r="AS118">
        <f>HYPERLINK("https://creighton-primo.hosted.exlibrisgroup.com/primo-explore/search?tab=default_tab&amp;search_scope=EVERYTHING&amp;vid=01CRU&amp;lang=en_US&amp;offset=0&amp;query=any,contains,991001452549702656","Catalog Record")</f>
        <v/>
      </c>
      <c r="AT118">
        <f>HYPERLINK("http://www.worldcat.org/oclc/19510803","WorldCat Record")</f>
        <v/>
      </c>
    </row>
    <row r="119">
      <c r="A119" t="inlineStr">
        <is>
          <t>No</t>
        </is>
      </c>
      <c r="B119" t="inlineStr">
        <is>
          <t>QV 4 I618t 1988</t>
        </is>
      </c>
      <c r="C119" t="inlineStr">
        <is>
          <t>0                      QV 0004000I  618t        1988</t>
        </is>
      </c>
      <c r="D119" t="inlineStr">
        <is>
          <t>Trends in medicinal chemistry '88 : proceedings of the Xth International Symposium on Medicinal Chemistry, Budapest, 15-19 August 1988 / edited by H. van der Goot ... [et al.].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International Symposium on Medicinal Chemistry (10th : 1988 : Budapest, Hungary)</t>
        </is>
      </c>
      <c r="L119" t="inlineStr">
        <is>
          <t>Amsterdam ; New York : Elsevier, c1989.</t>
        </is>
      </c>
      <c r="M119" t="inlineStr">
        <is>
          <t>1989</t>
        </is>
      </c>
      <c r="O119" t="inlineStr">
        <is>
          <t>eng</t>
        </is>
      </c>
      <c r="P119" t="inlineStr">
        <is>
          <t xml:space="preserve">ne </t>
        </is>
      </c>
      <c r="Q119" t="inlineStr">
        <is>
          <t>Pharmacochemistry library ; v. 12</t>
        </is>
      </c>
      <c r="R119" t="inlineStr">
        <is>
          <t xml:space="preserve">QV </t>
        </is>
      </c>
      <c r="S119" t="n">
        <v>8</v>
      </c>
      <c r="T119" t="n">
        <v>8</v>
      </c>
      <c r="U119" t="inlineStr">
        <is>
          <t>1990-03-07</t>
        </is>
      </c>
      <c r="V119" t="inlineStr">
        <is>
          <t>1990-03-07</t>
        </is>
      </c>
      <c r="W119" t="inlineStr">
        <is>
          <t>1989-07-17</t>
        </is>
      </c>
      <c r="X119" t="inlineStr">
        <is>
          <t>1989-07-17</t>
        </is>
      </c>
      <c r="Y119" t="n">
        <v>64</v>
      </c>
      <c r="Z119" t="n">
        <v>42</v>
      </c>
      <c r="AA119" t="n">
        <v>44</v>
      </c>
      <c r="AB119" t="n">
        <v>1</v>
      </c>
      <c r="AC119" t="n">
        <v>1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HYPERLINK("http://catalog.hathitrust.org/Record/001540131","HathiTrust Record")</f>
        <v/>
      </c>
      <c r="AS119">
        <f>HYPERLINK("https://creighton-primo.hosted.exlibrisgroup.com/primo-explore/search?tab=default_tab&amp;search_scope=EVERYTHING&amp;vid=01CRU&amp;lang=en_US&amp;offset=0&amp;query=any,contains,991001254219702656","Catalog Record")</f>
        <v/>
      </c>
      <c r="AT119">
        <f>HYPERLINK("http://www.worldcat.org/oclc/19514833","WorldCat Record")</f>
        <v/>
      </c>
    </row>
    <row r="120">
      <c r="A120" t="inlineStr">
        <is>
          <t>No</t>
        </is>
      </c>
      <c r="B120" t="inlineStr">
        <is>
          <t>QV4 K26p 2003</t>
        </is>
      </c>
      <c r="C120" t="inlineStr">
        <is>
          <t>0                      QV 0004000K  26p         2003</t>
        </is>
      </c>
      <c r="D120" t="inlineStr">
        <is>
          <t>Pharmacology : a nursing process approach / Joyce LeFever Kee, Evelyn R. Hayes.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K120" t="inlineStr">
        <is>
          <t>Kee, Joyce LeFever.</t>
        </is>
      </c>
      <c r="L120" t="inlineStr">
        <is>
          <t>Philadelphia : Saunders, c2003.</t>
        </is>
      </c>
      <c r="M120" t="inlineStr">
        <is>
          <t>2003</t>
        </is>
      </c>
      <c r="N120" t="inlineStr">
        <is>
          <t>4th ed.</t>
        </is>
      </c>
      <c r="O120" t="inlineStr">
        <is>
          <t>eng</t>
        </is>
      </c>
      <c r="P120" t="inlineStr">
        <is>
          <t>pau</t>
        </is>
      </c>
      <c r="R120" t="inlineStr">
        <is>
          <t xml:space="preserve">QV </t>
        </is>
      </c>
      <c r="S120" t="n">
        <v>4</v>
      </c>
      <c r="T120" t="n">
        <v>4</v>
      </c>
      <c r="U120" t="inlineStr">
        <is>
          <t>2004-06-10</t>
        </is>
      </c>
      <c r="V120" t="inlineStr">
        <is>
          <t>2004-06-10</t>
        </is>
      </c>
      <c r="W120" t="inlineStr">
        <is>
          <t>2003-06-09</t>
        </is>
      </c>
      <c r="X120" t="inlineStr">
        <is>
          <t>2003-06-09</t>
        </is>
      </c>
      <c r="Y120" t="n">
        <v>268</v>
      </c>
      <c r="Z120" t="n">
        <v>213</v>
      </c>
      <c r="AA120" t="n">
        <v>821</v>
      </c>
      <c r="AB120" t="n">
        <v>1</v>
      </c>
      <c r="AC120" t="n">
        <v>7</v>
      </c>
      <c r="AD120" t="n">
        <v>7</v>
      </c>
      <c r="AE120" t="n">
        <v>25</v>
      </c>
      <c r="AF120" t="n">
        <v>4</v>
      </c>
      <c r="AG120" t="n">
        <v>10</v>
      </c>
      <c r="AH120" t="n">
        <v>0</v>
      </c>
      <c r="AI120" t="n">
        <v>3</v>
      </c>
      <c r="AJ120" t="n">
        <v>6</v>
      </c>
      <c r="AK120" t="n">
        <v>14</v>
      </c>
      <c r="AL120" t="n">
        <v>0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HYPERLINK("http://catalog.hathitrust.org/Record/004297412","HathiTrust Record")</f>
        <v/>
      </c>
      <c r="AS120">
        <f>HYPERLINK("https://creighton-primo.hosted.exlibrisgroup.com/primo-explore/search?tab=default_tab&amp;search_scope=EVERYTHING&amp;vid=01CRU&amp;lang=en_US&amp;offset=0&amp;query=any,contains,991001723059702656","Catalog Record")</f>
        <v/>
      </c>
      <c r="AT120">
        <f>HYPERLINK("http://www.worldcat.org/oclc/50002945","WorldCat Record")</f>
        <v/>
      </c>
    </row>
    <row r="121">
      <c r="A121" t="inlineStr">
        <is>
          <t>No</t>
        </is>
      </c>
      <c r="B121" t="inlineStr">
        <is>
          <t>QV 4 K26p 2009</t>
        </is>
      </c>
      <c r="C121" t="inlineStr">
        <is>
          <t>0                      QV 0004000K  26p         2009</t>
        </is>
      </c>
      <c r="D121" t="inlineStr">
        <is>
          <t>Pharmacology : a nursing process approach / Joyce LeFever Kee, Evelyn R. Hayes, Linda E. McCuistion.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Kee, Joyce LeFever.</t>
        </is>
      </c>
      <c r="L121" t="inlineStr">
        <is>
          <t>[St. Louis, Mo.] : Saunders, c2009.</t>
        </is>
      </c>
      <c r="M121" t="inlineStr">
        <is>
          <t>2009</t>
        </is>
      </c>
      <c r="N121" t="inlineStr">
        <is>
          <t>6th ed.</t>
        </is>
      </c>
      <c r="O121" t="inlineStr">
        <is>
          <t>eng</t>
        </is>
      </c>
      <c r="P121" t="inlineStr">
        <is>
          <t>mou</t>
        </is>
      </c>
      <c r="R121" t="inlineStr">
        <is>
          <t xml:space="preserve">QV </t>
        </is>
      </c>
      <c r="S121" t="n">
        <v>0</v>
      </c>
      <c r="T121" t="n">
        <v>0</v>
      </c>
      <c r="U121" t="inlineStr">
        <is>
          <t>2009-04-30</t>
        </is>
      </c>
      <c r="V121" t="inlineStr">
        <is>
          <t>2009-04-30</t>
        </is>
      </c>
      <c r="W121" t="inlineStr">
        <is>
          <t>2009-04-29</t>
        </is>
      </c>
      <c r="X121" t="inlineStr">
        <is>
          <t>2009-04-29</t>
        </is>
      </c>
      <c r="Y121" t="n">
        <v>260</v>
      </c>
      <c r="Z121" t="n">
        <v>203</v>
      </c>
      <c r="AA121" t="n">
        <v>821</v>
      </c>
      <c r="AB121" t="n">
        <v>4</v>
      </c>
      <c r="AC121" t="n">
        <v>7</v>
      </c>
      <c r="AD121" t="n">
        <v>8</v>
      </c>
      <c r="AE121" t="n">
        <v>25</v>
      </c>
      <c r="AF121" t="n">
        <v>2</v>
      </c>
      <c r="AG121" t="n">
        <v>10</v>
      </c>
      <c r="AH121" t="n">
        <v>0</v>
      </c>
      <c r="AI121" t="n">
        <v>3</v>
      </c>
      <c r="AJ121" t="n">
        <v>4</v>
      </c>
      <c r="AK121" t="n">
        <v>14</v>
      </c>
      <c r="AL121" t="n">
        <v>3</v>
      </c>
      <c r="AM121" t="n">
        <v>5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HYPERLINK("https://creighton-primo.hosted.exlibrisgroup.com/primo-explore/search?tab=default_tab&amp;search_scope=EVERYTHING&amp;vid=01CRU&amp;lang=en_US&amp;offset=0&amp;query=any,contains,991001459249702656","Catalog Record")</f>
        <v/>
      </c>
      <c r="AT121">
        <f>HYPERLINK("http://www.worldcat.org/oclc/225874498","WorldCat Record")</f>
        <v/>
      </c>
    </row>
    <row r="122">
      <c r="A122" t="inlineStr">
        <is>
          <t>No</t>
        </is>
      </c>
      <c r="B122" t="inlineStr">
        <is>
          <t>QV 4 K89p 1972</t>
        </is>
      </c>
      <c r="C122" t="inlineStr">
        <is>
          <t>0                      QV 0004000K  89p         1972</t>
        </is>
      </c>
      <c r="D122" t="inlineStr">
        <is>
          <t>Krantz and Carr's Pharmacologic principles of medical practice : a textbook on pharmacology and therapeutics for students and practitioners of medicine, pharmacy, and dentistry / [by] Domingo M. Aviado. Foreword by Alfred Gellhorn. Appendix by Harry Salem.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Krantz, John C. (John Christian), 1899-1983.</t>
        </is>
      </c>
      <c r="L122" t="inlineStr">
        <is>
          <t>Baltimore : Williams &amp; Wilkins, [1972]</t>
        </is>
      </c>
      <c r="M122" t="inlineStr">
        <is>
          <t>1972</t>
        </is>
      </c>
      <c r="N122" t="inlineStr">
        <is>
          <t>8th ed.</t>
        </is>
      </c>
      <c r="O122" t="inlineStr">
        <is>
          <t>eng</t>
        </is>
      </c>
      <c r="P122" t="inlineStr">
        <is>
          <t>mdu</t>
        </is>
      </c>
      <c r="R122" t="inlineStr">
        <is>
          <t xml:space="preserve">QV </t>
        </is>
      </c>
      <c r="S122" t="n">
        <v>3</v>
      </c>
      <c r="T122" t="n">
        <v>3</v>
      </c>
      <c r="U122" t="inlineStr">
        <is>
          <t>2000-01-20</t>
        </is>
      </c>
      <c r="V122" t="inlineStr">
        <is>
          <t>2000-01-20</t>
        </is>
      </c>
      <c r="W122" t="inlineStr">
        <is>
          <t>1988-01-20</t>
        </is>
      </c>
      <c r="X122" t="inlineStr">
        <is>
          <t>1988-01-20</t>
        </is>
      </c>
      <c r="Y122" t="n">
        <v>151</v>
      </c>
      <c r="Z122" t="n">
        <v>121</v>
      </c>
      <c r="AA122" t="n">
        <v>122</v>
      </c>
      <c r="AB122" t="n">
        <v>1</v>
      </c>
      <c r="AC122" t="n">
        <v>1</v>
      </c>
      <c r="AD122" t="n">
        <v>3</v>
      </c>
      <c r="AE122" t="n">
        <v>3</v>
      </c>
      <c r="AF122" t="n">
        <v>1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HYPERLINK("http://catalog.hathitrust.org/Record/001579221","HathiTrust Record")</f>
        <v/>
      </c>
      <c r="AS122">
        <f>HYPERLINK("https://creighton-primo.hosted.exlibrisgroup.com/primo-explore/search?tab=default_tab&amp;search_scope=EVERYTHING&amp;vid=01CRU&amp;lang=en_US&amp;offset=0&amp;query=any,contains,991000917849702656","Catalog Record")</f>
        <v/>
      </c>
      <c r="AT122">
        <f>HYPERLINK("http://www.worldcat.org/oclc/524452","WorldCat Record")</f>
        <v/>
      </c>
    </row>
    <row r="123">
      <c r="A123" t="inlineStr">
        <is>
          <t>No</t>
        </is>
      </c>
      <c r="B123" t="inlineStr">
        <is>
          <t>QV4 L523p 2004</t>
        </is>
      </c>
      <c r="C123" t="inlineStr">
        <is>
          <t>0                      QV 0004000L  523p        2004</t>
        </is>
      </c>
      <c r="D123" t="inlineStr">
        <is>
          <t>Pharmacology for nursing care / Richard A. Lehne, in consultation with Linda A. Moore, Leanna J. Crosby, Diane B. Hamilton.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Yes</t>
        </is>
      </c>
      <c r="J123" t="inlineStr">
        <is>
          <t>0</t>
        </is>
      </c>
      <c r="K123" t="inlineStr">
        <is>
          <t>Lehne, Richard A., 1943-</t>
        </is>
      </c>
      <c r="L123" t="inlineStr">
        <is>
          <t>St. Louis, Mo. : Saunders, c2004.</t>
        </is>
      </c>
      <c r="M123" t="inlineStr">
        <is>
          <t>2004</t>
        </is>
      </c>
      <c r="N123" t="inlineStr">
        <is>
          <t>5th ed.</t>
        </is>
      </c>
      <c r="O123" t="inlineStr">
        <is>
          <t>eng</t>
        </is>
      </c>
      <c r="P123" t="inlineStr">
        <is>
          <t>mou</t>
        </is>
      </c>
      <c r="R123" t="inlineStr">
        <is>
          <t xml:space="preserve">QV </t>
        </is>
      </c>
      <c r="S123" t="n">
        <v>53</v>
      </c>
      <c r="T123" t="n">
        <v>53</v>
      </c>
      <c r="U123" t="inlineStr">
        <is>
          <t>2007-06-01</t>
        </is>
      </c>
      <c r="V123" t="inlineStr">
        <is>
          <t>2007-06-01</t>
        </is>
      </c>
      <c r="W123" t="inlineStr">
        <is>
          <t>2004-01-21</t>
        </is>
      </c>
      <c r="X123" t="inlineStr">
        <is>
          <t>2004-01-21</t>
        </is>
      </c>
      <c r="Y123" t="n">
        <v>251</v>
      </c>
      <c r="Z123" t="n">
        <v>186</v>
      </c>
      <c r="AA123" t="n">
        <v>712</v>
      </c>
      <c r="AB123" t="n">
        <v>1</v>
      </c>
      <c r="AC123" t="n">
        <v>6</v>
      </c>
      <c r="AD123" t="n">
        <v>2</v>
      </c>
      <c r="AE123" t="n">
        <v>23</v>
      </c>
      <c r="AF123" t="n">
        <v>0</v>
      </c>
      <c r="AG123" t="n">
        <v>9</v>
      </c>
      <c r="AH123" t="n">
        <v>0</v>
      </c>
      <c r="AI123" t="n">
        <v>5</v>
      </c>
      <c r="AJ123" t="n">
        <v>2</v>
      </c>
      <c r="AK123" t="n">
        <v>13</v>
      </c>
      <c r="AL123" t="n">
        <v>0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HYPERLINK("http://catalog.hathitrust.org/Record/004352379","HathiTrust Record")</f>
        <v/>
      </c>
      <c r="AS123">
        <f>HYPERLINK("https://creighton-primo.hosted.exlibrisgroup.com/primo-explore/search?tab=default_tab&amp;search_scope=EVERYTHING&amp;vid=01CRU&amp;lang=en_US&amp;offset=0&amp;query=any,contains,991001725529702656","Catalog Record")</f>
        <v/>
      </c>
      <c r="AT123">
        <f>HYPERLINK("http://www.worldcat.org/oclc/53954891","WorldCat Record")</f>
        <v/>
      </c>
    </row>
    <row r="124">
      <c r="A124" t="inlineStr">
        <is>
          <t>No</t>
        </is>
      </c>
      <c r="B124" t="inlineStr">
        <is>
          <t>QV 4 L729p 1996</t>
        </is>
      </c>
      <c r="C124" t="inlineStr">
        <is>
          <t>0                      QV 0004000L  729p        1996</t>
        </is>
      </c>
      <c r="D124" t="inlineStr">
        <is>
          <t>Pharmacology and the nursing process / Linda Lane Lilley, Robert S. Aucker, Joseph A. Albanese ; with contributions by Richard E. Lake, Carol Ruscin.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Yes</t>
        </is>
      </c>
      <c r="J124" t="inlineStr">
        <is>
          <t>0</t>
        </is>
      </c>
      <c r="K124" t="inlineStr">
        <is>
          <t>Lilley, Linda Lane.</t>
        </is>
      </c>
      <c r="L124" t="inlineStr">
        <is>
          <t>St. Louis : Mosby, c1996.</t>
        </is>
      </c>
      <c r="M124" t="inlineStr">
        <is>
          <t>1996</t>
        </is>
      </c>
      <c r="O124" t="inlineStr">
        <is>
          <t>eng</t>
        </is>
      </c>
      <c r="P124" t="inlineStr">
        <is>
          <t>mou</t>
        </is>
      </c>
      <c r="R124" t="inlineStr">
        <is>
          <t xml:space="preserve">QV </t>
        </is>
      </c>
      <c r="S124" t="n">
        <v>14</v>
      </c>
      <c r="T124" t="n">
        <v>14</v>
      </c>
      <c r="U124" t="inlineStr">
        <is>
          <t>2005-11-16</t>
        </is>
      </c>
      <c r="V124" t="inlineStr">
        <is>
          <t>2005-11-16</t>
        </is>
      </c>
      <c r="W124" t="inlineStr">
        <is>
          <t>1997-01-17</t>
        </is>
      </c>
      <c r="X124" t="inlineStr">
        <is>
          <t>1997-01-17</t>
        </is>
      </c>
      <c r="Y124" t="n">
        <v>132</v>
      </c>
      <c r="Z124" t="n">
        <v>97</v>
      </c>
      <c r="AA124" t="n">
        <v>926</v>
      </c>
      <c r="AB124" t="n">
        <v>1</v>
      </c>
      <c r="AC124" t="n">
        <v>3</v>
      </c>
      <c r="AD124" t="n">
        <v>4</v>
      </c>
      <c r="AE124" t="n">
        <v>22</v>
      </c>
      <c r="AF124" t="n">
        <v>2</v>
      </c>
      <c r="AG124" t="n">
        <v>8</v>
      </c>
      <c r="AH124" t="n">
        <v>0</v>
      </c>
      <c r="AI124" t="n">
        <v>5</v>
      </c>
      <c r="AJ124" t="n">
        <v>2</v>
      </c>
      <c r="AK124" t="n">
        <v>10</v>
      </c>
      <c r="AL124" t="n">
        <v>0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HYPERLINK("http://catalog.hathitrust.org/Record/003052681","HathiTrust Record")</f>
        <v/>
      </c>
      <c r="AS124">
        <f>HYPERLINK("https://creighton-primo.hosted.exlibrisgroup.com/primo-explore/search?tab=default_tab&amp;search_scope=EVERYTHING&amp;vid=01CRU&amp;lang=en_US&amp;offset=0&amp;query=any,contains,991001552189702656","Catalog Record")</f>
        <v/>
      </c>
      <c r="AT124">
        <f>HYPERLINK("http://www.worldcat.org/oclc/33439085","WorldCat Record")</f>
        <v/>
      </c>
    </row>
    <row r="125">
      <c r="A125" t="inlineStr">
        <is>
          <t>No</t>
        </is>
      </c>
      <c r="B125" t="inlineStr">
        <is>
          <t>QV 4 M259p 1995</t>
        </is>
      </c>
      <c r="C125" t="inlineStr">
        <is>
          <t>0                      QV 0004000M  259p        1995</t>
        </is>
      </c>
      <c r="D125" t="inlineStr">
        <is>
          <t>Pharmacology : drug therapy and nursing considerations / Roger T. Malseed, Frederick J. Goldstein, Nancy Balkon.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Malseed, Roger T. (Roger Thomas)</t>
        </is>
      </c>
      <c r="L125" t="inlineStr">
        <is>
          <t>Philadelphia : Lippincott, c1995.</t>
        </is>
      </c>
      <c r="M125" t="inlineStr">
        <is>
          <t>1995</t>
        </is>
      </c>
      <c r="N125" t="inlineStr">
        <is>
          <t>4th ed.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QV </t>
        </is>
      </c>
      <c r="S125" t="n">
        <v>6</v>
      </c>
      <c r="T125" t="n">
        <v>6</v>
      </c>
      <c r="U125" t="inlineStr">
        <is>
          <t>2004-10-15</t>
        </is>
      </c>
      <c r="V125" t="inlineStr">
        <is>
          <t>2004-10-15</t>
        </is>
      </c>
      <c r="W125" t="inlineStr">
        <is>
          <t>1996-09-10</t>
        </is>
      </c>
      <c r="X125" t="inlineStr">
        <is>
          <t>1996-09-10</t>
        </is>
      </c>
      <c r="Y125" t="n">
        <v>187</v>
      </c>
      <c r="Z125" t="n">
        <v>142</v>
      </c>
      <c r="AA125" t="n">
        <v>339</v>
      </c>
      <c r="AB125" t="n">
        <v>1</v>
      </c>
      <c r="AC125" t="n">
        <v>4</v>
      </c>
      <c r="AD125" t="n">
        <v>3</v>
      </c>
      <c r="AE125" t="n">
        <v>10</v>
      </c>
      <c r="AF125" t="n">
        <v>1</v>
      </c>
      <c r="AG125" t="n">
        <v>4</v>
      </c>
      <c r="AH125" t="n">
        <v>1</v>
      </c>
      <c r="AI125" t="n">
        <v>2</v>
      </c>
      <c r="AJ125" t="n">
        <v>2</v>
      </c>
      <c r="AK125" t="n">
        <v>6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HYPERLINK("http://catalog.hathitrust.org/Record/002954630","HathiTrust Record")</f>
        <v/>
      </c>
      <c r="AS125">
        <f>HYPERLINK("https://creighton-primo.hosted.exlibrisgroup.com/primo-explore/search?tab=default_tab&amp;search_scope=EVERYTHING&amp;vid=01CRU&amp;lang=en_US&amp;offset=0&amp;query=any,contains,991001769159702656","Catalog Record")</f>
        <v/>
      </c>
      <c r="AT125">
        <f>HYPERLINK("http://www.worldcat.org/oclc/31076972","WorldCat Record")</f>
        <v/>
      </c>
    </row>
    <row r="126">
      <c r="A126" t="inlineStr">
        <is>
          <t>No</t>
        </is>
      </c>
      <c r="B126" t="inlineStr">
        <is>
          <t>QV 4 M478m 1998</t>
        </is>
      </c>
      <c r="C126" t="inlineStr">
        <is>
          <t>0                      QV 0004000M  478m        1998</t>
        </is>
      </c>
      <c r="D126" t="inlineStr">
        <is>
          <t>Mosby's pharmacology in nursing / Leda M. McKenry, Evelyn Salerno.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Yes</t>
        </is>
      </c>
      <c r="J126" t="inlineStr">
        <is>
          <t>0</t>
        </is>
      </c>
      <c r="K126" t="inlineStr">
        <is>
          <t>McKenry, Leda M.</t>
        </is>
      </c>
      <c r="L126" t="inlineStr">
        <is>
          <t>St. Louis, Mo. : Mosby, c1998.</t>
        </is>
      </c>
      <c r="M126" t="inlineStr">
        <is>
          <t>1998</t>
        </is>
      </c>
      <c r="N126" t="inlineStr">
        <is>
          <t>20th ed.</t>
        </is>
      </c>
      <c r="O126" t="inlineStr">
        <is>
          <t>eng</t>
        </is>
      </c>
      <c r="P126" t="inlineStr">
        <is>
          <t>mou</t>
        </is>
      </c>
      <c r="R126" t="inlineStr">
        <is>
          <t xml:space="preserve">QV </t>
        </is>
      </c>
      <c r="S126" t="n">
        <v>6</v>
      </c>
      <c r="T126" t="n">
        <v>6</v>
      </c>
      <c r="U126" t="inlineStr">
        <is>
          <t>2005-11-16</t>
        </is>
      </c>
      <c r="V126" t="inlineStr">
        <is>
          <t>2005-11-16</t>
        </is>
      </c>
      <c r="W126" t="inlineStr">
        <is>
          <t>1998-04-14</t>
        </is>
      </c>
      <c r="X126" t="inlineStr">
        <is>
          <t>1998-04-14</t>
        </is>
      </c>
      <c r="Y126" t="n">
        <v>235</v>
      </c>
      <c r="Z126" t="n">
        <v>200</v>
      </c>
      <c r="AA126" t="n">
        <v>782</v>
      </c>
      <c r="AB126" t="n">
        <v>1</v>
      </c>
      <c r="AC126" t="n">
        <v>4</v>
      </c>
      <c r="AD126" t="n">
        <v>5</v>
      </c>
      <c r="AE126" t="n">
        <v>16</v>
      </c>
      <c r="AF126" t="n">
        <v>3</v>
      </c>
      <c r="AG126" t="n">
        <v>6</v>
      </c>
      <c r="AH126" t="n">
        <v>1</v>
      </c>
      <c r="AI126" t="n">
        <v>3</v>
      </c>
      <c r="AJ126" t="n">
        <v>1</v>
      </c>
      <c r="AK126" t="n">
        <v>8</v>
      </c>
      <c r="AL126" t="n">
        <v>0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HYPERLINK("http://catalog.hathitrust.org/Record/003958608","HathiTrust Record")</f>
        <v/>
      </c>
      <c r="AS126">
        <f>HYPERLINK("https://creighton-primo.hosted.exlibrisgroup.com/primo-explore/search?tab=default_tab&amp;search_scope=EVERYTHING&amp;vid=01CRU&amp;lang=en_US&amp;offset=0&amp;query=any,contains,991001564509702656","Catalog Record")</f>
        <v/>
      </c>
      <c r="AT126">
        <f>HYPERLINK("http://www.worldcat.org/oclc/40517045","WorldCat Record")</f>
        <v/>
      </c>
    </row>
    <row r="127">
      <c r="A127" t="inlineStr">
        <is>
          <t>No</t>
        </is>
      </c>
      <c r="B127" t="inlineStr">
        <is>
          <t>QV4  M478M 2006 &amp; WORKBOOK</t>
        </is>
      </c>
      <c r="C127" t="inlineStr">
        <is>
          <t>0                      QV 0004000M  478M        2006                                        &amp; WORKBOOK</t>
        </is>
      </c>
      <c r="D127" t="inlineStr">
        <is>
          <t>Mosby's pharmacology in nursing / Leda McKenry, Ed Tessier, MaryAnn Hogan.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Yes</t>
        </is>
      </c>
      <c r="J127" t="inlineStr">
        <is>
          <t>0</t>
        </is>
      </c>
      <c r="K127" t="inlineStr">
        <is>
          <t>McKenry, Leda M.</t>
        </is>
      </c>
      <c r="L127" t="inlineStr">
        <is>
          <t>St. Louis, Mo. : Elsevier Mosby, c2006.</t>
        </is>
      </c>
      <c r="M127" t="inlineStr">
        <is>
          <t>2006</t>
        </is>
      </c>
      <c r="N127" t="inlineStr">
        <is>
          <t>22nd ed.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QV </t>
        </is>
      </c>
      <c r="S127" t="n">
        <v>1</v>
      </c>
      <c r="T127" t="n">
        <v>1</v>
      </c>
      <c r="U127" t="inlineStr">
        <is>
          <t>2007-01-24</t>
        </is>
      </c>
      <c r="V127" t="inlineStr">
        <is>
          <t>2007-01-24</t>
        </is>
      </c>
      <c r="W127" t="inlineStr">
        <is>
          <t>2006-03-30</t>
        </is>
      </c>
      <c r="X127" t="inlineStr">
        <is>
          <t>2006-03-30</t>
        </is>
      </c>
      <c r="Y127" t="n">
        <v>330</v>
      </c>
      <c r="Z127" t="n">
        <v>250</v>
      </c>
      <c r="AA127" t="n">
        <v>782</v>
      </c>
      <c r="AB127" t="n">
        <v>2</v>
      </c>
      <c r="AC127" t="n">
        <v>4</v>
      </c>
      <c r="AD127" t="n">
        <v>8</v>
      </c>
      <c r="AE127" t="n">
        <v>16</v>
      </c>
      <c r="AF127" t="n">
        <v>3</v>
      </c>
      <c r="AG127" t="n">
        <v>6</v>
      </c>
      <c r="AH127" t="n">
        <v>0</v>
      </c>
      <c r="AI127" t="n">
        <v>3</v>
      </c>
      <c r="AJ127" t="n">
        <v>4</v>
      </c>
      <c r="AK127" t="n">
        <v>8</v>
      </c>
      <c r="AL127" t="n">
        <v>1</v>
      </c>
      <c r="AM127" t="n">
        <v>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HYPERLINK("https://creighton-primo.hosted.exlibrisgroup.com/primo-explore/search?tab=default_tab&amp;search_scope=EVERYTHING&amp;vid=01CRU&amp;lang=en_US&amp;offset=0&amp;query=any,contains,991001738269702656","Catalog Record")</f>
        <v/>
      </c>
      <c r="AT127">
        <f>HYPERLINK("http://www.worldcat.org/oclc/65195229","WorldCat Record")</f>
        <v/>
      </c>
    </row>
    <row r="128">
      <c r="A128" t="inlineStr">
        <is>
          <t>No</t>
        </is>
      </c>
      <c r="B128" t="inlineStr">
        <is>
          <t>QV 4 M6895 1994</t>
        </is>
      </c>
      <c r="C128" t="inlineStr">
        <is>
          <t>0                      QV 0004000M  6895        1994</t>
        </is>
      </c>
      <c r="D128" t="inlineStr">
        <is>
          <t>Modern pharmacology / edited by Charles R. Craig, Robert E. Stitzel.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Boston : Little, Brown, c1994.</t>
        </is>
      </c>
      <c r="M128" t="inlineStr">
        <is>
          <t>1994</t>
        </is>
      </c>
      <c r="N128" t="inlineStr">
        <is>
          <t>4th ed.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QV </t>
        </is>
      </c>
      <c r="S128" t="n">
        <v>86</v>
      </c>
      <c r="T128" t="n">
        <v>86</v>
      </c>
      <c r="U128" t="inlineStr">
        <is>
          <t>2004-11-05</t>
        </is>
      </c>
      <c r="V128" t="inlineStr">
        <is>
          <t>2004-11-05</t>
        </is>
      </c>
      <c r="W128" t="inlineStr">
        <is>
          <t>1994-08-04</t>
        </is>
      </c>
      <c r="X128" t="inlineStr">
        <is>
          <t>1994-08-04</t>
        </is>
      </c>
      <c r="Y128" t="n">
        <v>189</v>
      </c>
      <c r="Z128" t="n">
        <v>126</v>
      </c>
      <c r="AA128" t="n">
        <v>287</v>
      </c>
      <c r="AB128" t="n">
        <v>1</v>
      </c>
      <c r="AC128" t="n">
        <v>2</v>
      </c>
      <c r="AD128" t="n">
        <v>1</v>
      </c>
      <c r="AE128" t="n">
        <v>7</v>
      </c>
      <c r="AF128" t="n">
        <v>0</v>
      </c>
      <c r="AG128" t="n">
        <v>1</v>
      </c>
      <c r="AH128" t="n">
        <v>0</v>
      </c>
      <c r="AI128" t="n">
        <v>3</v>
      </c>
      <c r="AJ128" t="n">
        <v>1</v>
      </c>
      <c r="AK128" t="n">
        <v>3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HYPERLINK("http://catalog.hathitrust.org/Record/002795724","HathiTrust Record")</f>
        <v/>
      </c>
      <c r="AS128">
        <f>HYPERLINK("https://creighton-primo.hosted.exlibrisgroup.com/primo-explore/search?tab=default_tab&amp;search_scope=EVERYTHING&amp;vid=01CRU&amp;lang=en_US&amp;offset=0&amp;query=any,contains,991001119779702656","Catalog Record")</f>
        <v/>
      </c>
      <c r="AT128">
        <f>HYPERLINK("http://www.worldcat.org/oclc/28929399","WorldCat Record")</f>
        <v/>
      </c>
    </row>
    <row r="129">
      <c r="A129" t="inlineStr">
        <is>
          <t>No</t>
        </is>
      </c>
      <c r="B129" t="inlineStr">
        <is>
          <t>QV4 M6898 2004</t>
        </is>
      </c>
      <c r="C129" t="inlineStr">
        <is>
          <t>0                      QV 0004000M  6898        2004</t>
        </is>
      </c>
      <c r="D129" t="inlineStr">
        <is>
          <t>Modern pharmacology with clinical applications / edited by Charles R. Craig, Robert E. Stitzel.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L129" t="inlineStr">
        <is>
          <t>Philadelphia : Lippincott Williams &amp; Wilkins, c2004.</t>
        </is>
      </c>
      <c r="M129" t="inlineStr">
        <is>
          <t>2004</t>
        </is>
      </c>
      <c r="N129" t="inlineStr">
        <is>
          <t>6th ed.</t>
        </is>
      </c>
      <c r="O129" t="inlineStr">
        <is>
          <t>eng</t>
        </is>
      </c>
      <c r="P129" t="inlineStr">
        <is>
          <t>pau</t>
        </is>
      </c>
      <c r="R129" t="inlineStr">
        <is>
          <t xml:space="preserve">QV </t>
        </is>
      </c>
      <c r="S129" t="n">
        <v>15</v>
      </c>
      <c r="T129" t="n">
        <v>15</v>
      </c>
      <c r="U129" t="inlineStr">
        <is>
          <t>2007-11-28</t>
        </is>
      </c>
      <c r="V129" t="inlineStr">
        <is>
          <t>2007-11-28</t>
        </is>
      </c>
      <c r="W129" t="inlineStr">
        <is>
          <t>2005-11-09</t>
        </is>
      </c>
      <c r="X129" t="inlineStr">
        <is>
          <t>2005-11-09</t>
        </is>
      </c>
      <c r="Y129" t="n">
        <v>273</v>
      </c>
      <c r="Z129" t="n">
        <v>183</v>
      </c>
      <c r="AA129" t="n">
        <v>259</v>
      </c>
      <c r="AB129" t="n">
        <v>2</v>
      </c>
      <c r="AC129" t="n">
        <v>2</v>
      </c>
      <c r="AD129" t="n">
        <v>8</v>
      </c>
      <c r="AE129" t="n">
        <v>10</v>
      </c>
      <c r="AF129" t="n">
        <v>3</v>
      </c>
      <c r="AG129" t="n">
        <v>4</v>
      </c>
      <c r="AH129" t="n">
        <v>1</v>
      </c>
      <c r="AI129" t="n">
        <v>1</v>
      </c>
      <c r="AJ129" t="n">
        <v>3</v>
      </c>
      <c r="AK129" t="n">
        <v>4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HYPERLINK("https://creighton-primo.hosted.exlibrisgroup.com/primo-explore/search?tab=default_tab&amp;search_scope=EVERYTHING&amp;vid=01CRU&amp;lang=en_US&amp;offset=0&amp;query=any,contains,991000448159702656","Catalog Record")</f>
        <v/>
      </c>
      <c r="AT129">
        <f>HYPERLINK("http://www.worldcat.org/oclc/51258187","WorldCat Record")</f>
        <v/>
      </c>
    </row>
    <row r="130">
      <c r="A130" t="inlineStr">
        <is>
          <t>No</t>
        </is>
      </c>
      <c r="B130" t="inlineStr">
        <is>
          <t>QV 4 M698 1997</t>
        </is>
      </c>
      <c r="C130" t="inlineStr">
        <is>
          <t>0                      QV 0004000M  698         1997</t>
        </is>
      </c>
      <c r="D130" t="inlineStr">
        <is>
          <t>Modern pharmacology with clinical applications / edited by Charles R. Craig, Robert E. Stitzel.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L130" t="inlineStr">
        <is>
          <t>Boston : Little, Brown, c1997.</t>
        </is>
      </c>
      <c r="M130" t="inlineStr">
        <is>
          <t>1997</t>
        </is>
      </c>
      <c r="N130" t="inlineStr">
        <is>
          <t>5th ed.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QV </t>
        </is>
      </c>
      <c r="S130" t="n">
        <v>28</v>
      </c>
      <c r="T130" t="n">
        <v>28</v>
      </c>
      <c r="U130" t="inlineStr">
        <is>
          <t>2008-04-25</t>
        </is>
      </c>
      <c r="V130" t="inlineStr">
        <is>
          <t>2008-04-25</t>
        </is>
      </c>
      <c r="W130" t="inlineStr">
        <is>
          <t>1997-04-14</t>
        </is>
      </c>
      <c r="X130" t="inlineStr">
        <is>
          <t>1997-04-14</t>
        </is>
      </c>
      <c r="Y130" t="n">
        <v>211</v>
      </c>
      <c r="Z130" t="n">
        <v>144</v>
      </c>
      <c r="AA130" t="n">
        <v>259</v>
      </c>
      <c r="AB130" t="n">
        <v>1</v>
      </c>
      <c r="AC130" t="n">
        <v>2</v>
      </c>
      <c r="AD130" t="n">
        <v>5</v>
      </c>
      <c r="AE130" t="n">
        <v>10</v>
      </c>
      <c r="AF130" t="n">
        <v>2</v>
      </c>
      <c r="AG130" t="n">
        <v>4</v>
      </c>
      <c r="AH130" t="n">
        <v>1</v>
      </c>
      <c r="AI130" t="n">
        <v>1</v>
      </c>
      <c r="AJ130" t="n">
        <v>2</v>
      </c>
      <c r="AK130" t="n">
        <v>4</v>
      </c>
      <c r="AL130" t="n">
        <v>0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HYPERLINK("http://catalog.hathitrust.org/Record/003126395","HathiTrust Record")</f>
        <v/>
      </c>
      <c r="AS130">
        <f>HYPERLINK("https://creighton-primo.hosted.exlibrisgroup.com/primo-explore/search?tab=default_tab&amp;search_scope=EVERYTHING&amp;vid=01CRU&amp;lang=en_US&amp;offset=0&amp;query=any,contains,991000839499702656","Catalog Record")</f>
        <v/>
      </c>
      <c r="AT130">
        <f>HYPERLINK("http://www.worldcat.org/oclc/34912638","WorldCat Record")</f>
        <v/>
      </c>
    </row>
    <row r="131">
      <c r="A131" t="inlineStr">
        <is>
          <t>No</t>
        </is>
      </c>
      <c r="B131" t="inlineStr">
        <is>
          <t>QV 4 S326i 1975</t>
        </is>
      </c>
      <c r="C131" t="inlineStr">
        <is>
          <t>0                      QV 0004000S  326i        1975</t>
        </is>
      </c>
      <c r="D131" t="inlineStr">
        <is>
          <t>Introductory clinical pharmacology / by Jeanne C. Scherer.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Scherer, Jeanne C.</t>
        </is>
      </c>
      <c r="L131" t="inlineStr">
        <is>
          <t>Philadelphia : Lippincott, 1975.</t>
        </is>
      </c>
      <c r="M131" t="inlineStr">
        <is>
          <t>1975</t>
        </is>
      </c>
      <c r="O131" t="inlineStr">
        <is>
          <t>eng</t>
        </is>
      </c>
      <c r="P131" t="inlineStr">
        <is>
          <t>pau</t>
        </is>
      </c>
      <c r="R131" t="inlineStr">
        <is>
          <t xml:space="preserve">QV </t>
        </is>
      </c>
      <c r="S131" t="n">
        <v>6</v>
      </c>
      <c r="T131" t="n">
        <v>6</v>
      </c>
      <c r="U131" t="inlineStr">
        <is>
          <t>2001-06-16</t>
        </is>
      </c>
      <c r="V131" t="inlineStr">
        <is>
          <t>2001-06-16</t>
        </is>
      </c>
      <c r="W131" t="inlineStr">
        <is>
          <t>1988-01-20</t>
        </is>
      </c>
      <c r="X131" t="inlineStr">
        <is>
          <t>1988-01-20</t>
        </is>
      </c>
      <c r="Y131" t="n">
        <v>127</v>
      </c>
      <c r="Z131" t="n">
        <v>110</v>
      </c>
      <c r="AA131" t="n">
        <v>526</v>
      </c>
      <c r="AB131" t="n">
        <v>2</v>
      </c>
      <c r="AC131" t="n">
        <v>3</v>
      </c>
      <c r="AD131" t="n">
        <v>3</v>
      </c>
      <c r="AE131" t="n">
        <v>13</v>
      </c>
      <c r="AF131" t="n">
        <v>1</v>
      </c>
      <c r="AG131" t="n">
        <v>5</v>
      </c>
      <c r="AH131" t="n">
        <v>0</v>
      </c>
      <c r="AI131" t="n">
        <v>4</v>
      </c>
      <c r="AJ131" t="n">
        <v>1</v>
      </c>
      <c r="AK131" t="n">
        <v>6</v>
      </c>
      <c r="AL131" t="n">
        <v>1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HYPERLINK("http://catalog.hathitrust.org/Record/000020504","HathiTrust Record")</f>
        <v/>
      </c>
      <c r="AS131">
        <f>HYPERLINK("https://creighton-primo.hosted.exlibrisgroup.com/primo-explore/search?tab=default_tab&amp;search_scope=EVERYTHING&amp;vid=01CRU&amp;lang=en_US&amp;offset=0&amp;query=any,contains,991000947129702656","Catalog Record")</f>
        <v/>
      </c>
      <c r="AT131">
        <f>HYPERLINK("http://www.worldcat.org/oclc/1218402","WorldCat Record")</f>
        <v/>
      </c>
    </row>
    <row r="132">
      <c r="A132" t="inlineStr">
        <is>
          <t>No</t>
        </is>
      </c>
      <c r="B132" t="inlineStr">
        <is>
          <t>QV 4 S558n 1993</t>
        </is>
      </c>
      <c r="C132" t="inlineStr">
        <is>
          <t>0                      QV 0004000S  558n        1993</t>
        </is>
      </c>
      <c r="D132" t="inlineStr">
        <is>
          <t>The nurse, pharmacology, and drug therapy : a prototype approach / Marshal Shlafer.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Shlafer, Marshal.</t>
        </is>
      </c>
      <c r="L132" t="inlineStr">
        <is>
          <t>Redwood City, Calif. : Addison-Wesley Nursing, c1993.</t>
        </is>
      </c>
      <c r="M132" t="inlineStr">
        <is>
          <t>1993</t>
        </is>
      </c>
      <c r="N132" t="inlineStr">
        <is>
          <t>2nd ed.</t>
        </is>
      </c>
      <c r="O132" t="inlineStr">
        <is>
          <t>eng</t>
        </is>
      </c>
      <c r="P132" t="inlineStr">
        <is>
          <t>cau</t>
        </is>
      </c>
      <c r="R132" t="inlineStr">
        <is>
          <t xml:space="preserve">QV </t>
        </is>
      </c>
      <c r="S132" t="n">
        <v>90</v>
      </c>
      <c r="T132" t="n">
        <v>90</v>
      </c>
      <c r="U132" t="inlineStr">
        <is>
          <t>1997-10-30</t>
        </is>
      </c>
      <c r="V132" t="inlineStr">
        <is>
          <t>1997-10-30</t>
        </is>
      </c>
      <c r="W132" t="inlineStr">
        <is>
          <t>1993-06-01</t>
        </is>
      </c>
      <c r="X132" t="inlineStr">
        <is>
          <t>1993-06-01</t>
        </is>
      </c>
      <c r="Y132" t="n">
        <v>173</v>
      </c>
      <c r="Z132" t="n">
        <v>136</v>
      </c>
      <c r="AA132" t="n">
        <v>238</v>
      </c>
      <c r="AB132" t="n">
        <v>3</v>
      </c>
      <c r="AC132" t="n">
        <v>3</v>
      </c>
      <c r="AD132" t="n">
        <v>2</v>
      </c>
      <c r="AE132" t="n">
        <v>6</v>
      </c>
      <c r="AF132" t="n">
        <v>0</v>
      </c>
      <c r="AG132" t="n">
        <v>3</v>
      </c>
      <c r="AH132" t="n">
        <v>1</v>
      </c>
      <c r="AI132" t="n">
        <v>2</v>
      </c>
      <c r="AJ132" t="n">
        <v>2</v>
      </c>
      <c r="AK132" t="n">
        <v>4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HYPERLINK("http://catalog.hathitrust.org/Record/004546240","HathiTrust Record")</f>
        <v/>
      </c>
      <c r="AS132">
        <f>HYPERLINK("https://creighton-primo.hosted.exlibrisgroup.com/primo-explore/search?tab=default_tab&amp;search_scope=EVERYTHING&amp;vid=01CRU&amp;lang=en_US&amp;offset=0&amp;query=any,contains,991001479729702656","Catalog Record")</f>
        <v/>
      </c>
      <c r="AT132">
        <f>HYPERLINK("http://www.worldcat.org/oclc/27218119","WorldCat Record")</f>
        <v/>
      </c>
    </row>
    <row r="133">
      <c r="A133" t="inlineStr">
        <is>
          <t>No</t>
        </is>
      </c>
      <c r="B133" t="inlineStr">
        <is>
          <t>QV 4 S777b 1985</t>
        </is>
      </c>
      <c r="C133" t="inlineStr">
        <is>
          <t>0                      QV 0004000S  777b        1985</t>
        </is>
      </c>
      <c r="D133" t="inlineStr">
        <is>
          <t>Squire's Basic pharmacology for nurses.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Squire, Jessie E.</t>
        </is>
      </c>
      <c r="L133" t="inlineStr">
        <is>
          <t>St. Louis : Mosby, c1985.</t>
        </is>
      </c>
      <c r="M133" t="inlineStr">
        <is>
          <t>1985</t>
        </is>
      </c>
      <c r="N133" t="inlineStr">
        <is>
          <t>8th ed. / Bruce D. Clayton, Yvonne N. Stock, Jessie E. Squire ; illustrated by Lana Carter Maher.</t>
        </is>
      </c>
      <c r="O133" t="inlineStr">
        <is>
          <t>eng</t>
        </is>
      </c>
      <c r="P133" t="inlineStr">
        <is>
          <t>xxu</t>
        </is>
      </c>
      <c r="R133" t="inlineStr">
        <is>
          <t xml:space="preserve">QV </t>
        </is>
      </c>
      <c r="S133" t="n">
        <v>8</v>
      </c>
      <c r="T133" t="n">
        <v>8</v>
      </c>
      <c r="U133" t="inlineStr">
        <is>
          <t>1994-06-21</t>
        </is>
      </c>
      <c r="V133" t="inlineStr">
        <is>
          <t>1994-06-21</t>
        </is>
      </c>
      <c r="W133" t="inlineStr">
        <is>
          <t>1988-01-27</t>
        </is>
      </c>
      <c r="X133" t="inlineStr">
        <is>
          <t>1988-01-27</t>
        </is>
      </c>
      <c r="Y133" t="n">
        <v>157</v>
      </c>
      <c r="Z133" t="n">
        <v>133</v>
      </c>
      <c r="AA133" t="n">
        <v>135</v>
      </c>
      <c r="AB133" t="n">
        <v>3</v>
      </c>
      <c r="AC133" t="n">
        <v>3</v>
      </c>
      <c r="AD133" t="n">
        <v>4</v>
      </c>
      <c r="AE133" t="n">
        <v>4</v>
      </c>
      <c r="AF133" t="n">
        <v>1</v>
      </c>
      <c r="AG133" t="n">
        <v>1</v>
      </c>
      <c r="AH133" t="n">
        <v>1</v>
      </c>
      <c r="AI133" t="n">
        <v>1</v>
      </c>
      <c r="AJ133" t="n">
        <v>2</v>
      </c>
      <c r="AK133" t="n">
        <v>2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HYPERLINK("http://catalog.hathitrust.org/Record/000569813","HathiTrust Record")</f>
        <v/>
      </c>
      <c r="AS133">
        <f>HYPERLINK("https://creighton-primo.hosted.exlibrisgroup.com/primo-explore/search?tab=default_tab&amp;search_scope=EVERYTHING&amp;vid=01CRU&amp;lang=en_US&amp;offset=0&amp;query=any,contains,991000946889702656","Catalog Record")</f>
        <v/>
      </c>
      <c r="AT133">
        <f>HYPERLINK("http://www.worldcat.org/oclc/11649350","WorldCat Record")</f>
        <v/>
      </c>
    </row>
    <row r="134">
      <c r="A134" t="inlineStr">
        <is>
          <t>No</t>
        </is>
      </c>
      <c r="B134" t="inlineStr">
        <is>
          <t>QV 4 S918b 1996</t>
        </is>
      </c>
      <c r="C134" t="inlineStr">
        <is>
          <t>0                      QV 0004000S  918b        1996</t>
        </is>
      </c>
      <c r="D134" t="inlineStr">
        <is>
          <t>Basic concepts in pharmacology : a student's survival guide / Janet L. Stringer.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Stringer, Janet L.</t>
        </is>
      </c>
      <c r="L134" t="inlineStr">
        <is>
          <t>New York : McGraw-Hill, Health Professions Division, c1996.</t>
        </is>
      </c>
      <c r="M134" t="inlineStr">
        <is>
          <t>1996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QV </t>
        </is>
      </c>
      <c r="S134" t="n">
        <v>18</v>
      </c>
      <c r="T134" t="n">
        <v>18</v>
      </c>
      <c r="U134" t="inlineStr">
        <is>
          <t>2009-05-11</t>
        </is>
      </c>
      <c r="V134" t="inlineStr">
        <is>
          <t>2009-05-11</t>
        </is>
      </c>
      <c r="W134" t="inlineStr">
        <is>
          <t>1997-09-09</t>
        </is>
      </c>
      <c r="X134" t="inlineStr">
        <is>
          <t>1997-09-09</t>
        </is>
      </c>
      <c r="Y134" t="n">
        <v>127</v>
      </c>
      <c r="Z134" t="n">
        <v>93</v>
      </c>
      <c r="AA134" t="n">
        <v>202</v>
      </c>
      <c r="AB134" t="n">
        <v>1</v>
      </c>
      <c r="AC134" t="n">
        <v>1</v>
      </c>
      <c r="AD134" t="n">
        <v>7</v>
      </c>
      <c r="AE134" t="n">
        <v>11</v>
      </c>
      <c r="AF134" t="n">
        <v>1</v>
      </c>
      <c r="AG134" t="n">
        <v>5</v>
      </c>
      <c r="AH134" t="n">
        <v>2</v>
      </c>
      <c r="AI134" t="n">
        <v>3</v>
      </c>
      <c r="AJ134" t="n">
        <v>5</v>
      </c>
      <c r="AK134" t="n">
        <v>5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HYPERLINK("http://catalog.hathitrust.org/Record/003067158","HathiTrust Record")</f>
        <v/>
      </c>
      <c r="AS134">
        <f>HYPERLINK("https://creighton-primo.hosted.exlibrisgroup.com/primo-explore/search?tab=default_tab&amp;search_scope=EVERYTHING&amp;vid=01CRU&amp;lang=en_US&amp;offset=0&amp;query=any,contains,991001559339702656","Catalog Record")</f>
        <v/>
      </c>
      <c r="AT134">
        <f>HYPERLINK("http://www.worldcat.org/oclc/33105346","WorldCat Record")</f>
        <v/>
      </c>
    </row>
    <row r="135">
      <c r="A135" t="inlineStr">
        <is>
          <t>No</t>
        </is>
      </c>
      <c r="B135" t="inlineStr">
        <is>
          <t>QV 4 S979n 1991</t>
        </is>
      </c>
      <c r="C135" t="inlineStr">
        <is>
          <t>0                      QV 0004000S  979n        1991</t>
        </is>
      </c>
      <c r="D135" t="inlineStr">
        <is>
          <t>Nursing pharmacology : an integrated approach to drug therapy and nursing practice / Alvin K. Swonger, Myrtle P. Matejski.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Swonger, Alvin K.</t>
        </is>
      </c>
      <c r="L135" t="inlineStr">
        <is>
          <t>Philadelphia : Lippincott, c1991.</t>
        </is>
      </c>
      <c r="M135" t="inlineStr">
        <is>
          <t>1991</t>
        </is>
      </c>
      <c r="N135" t="inlineStr">
        <is>
          <t>2nd ed.</t>
        </is>
      </c>
      <c r="O135" t="inlineStr">
        <is>
          <t>eng</t>
        </is>
      </c>
      <c r="P135" t="inlineStr">
        <is>
          <t>xxu</t>
        </is>
      </c>
      <c r="R135" t="inlineStr">
        <is>
          <t xml:space="preserve">QV </t>
        </is>
      </c>
      <c r="S135" t="n">
        <v>2</v>
      </c>
      <c r="T135" t="n">
        <v>2</v>
      </c>
      <c r="U135" t="inlineStr">
        <is>
          <t>1995-09-09</t>
        </is>
      </c>
      <c r="V135" t="inlineStr">
        <is>
          <t>1995-09-09</t>
        </is>
      </c>
      <c r="W135" t="inlineStr">
        <is>
          <t>1991-04-30</t>
        </is>
      </c>
      <c r="X135" t="inlineStr">
        <is>
          <t>1991-04-30</t>
        </is>
      </c>
      <c r="Y135" t="n">
        <v>183</v>
      </c>
      <c r="Z135" t="n">
        <v>145</v>
      </c>
      <c r="AA135" t="n">
        <v>263</v>
      </c>
      <c r="AB135" t="n">
        <v>1</v>
      </c>
      <c r="AC135" t="n">
        <v>3</v>
      </c>
      <c r="AD135" t="n">
        <v>3</v>
      </c>
      <c r="AE135" t="n">
        <v>6</v>
      </c>
      <c r="AF135" t="n">
        <v>1</v>
      </c>
      <c r="AG135" t="n">
        <v>3</v>
      </c>
      <c r="AH135" t="n">
        <v>0</v>
      </c>
      <c r="AI135" t="n">
        <v>0</v>
      </c>
      <c r="AJ135" t="n">
        <v>2</v>
      </c>
      <c r="AK135" t="n">
        <v>4</v>
      </c>
      <c r="AL135" t="n">
        <v>0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HYPERLINK("http://catalog.hathitrust.org/Record/002432718","HathiTrust Record")</f>
        <v/>
      </c>
      <c r="AS135">
        <f>HYPERLINK("https://creighton-primo.hosted.exlibrisgroup.com/primo-explore/search?tab=default_tab&amp;search_scope=EVERYTHING&amp;vid=01CRU&amp;lang=en_US&amp;offset=0&amp;query=any,contains,991000935059702656","Catalog Record")</f>
        <v/>
      </c>
      <c r="AT135">
        <f>HYPERLINK("http://www.worldcat.org/oclc/22110607","WorldCat Record")</f>
        <v/>
      </c>
    </row>
    <row r="136">
      <c r="A136" t="inlineStr">
        <is>
          <t>No</t>
        </is>
      </c>
      <c r="B136" t="inlineStr">
        <is>
          <t>QV 4 W893e 1992</t>
        </is>
      </c>
      <c r="C136" t="inlineStr">
        <is>
          <t>0                      QV 0004000W  893e        1992</t>
        </is>
      </c>
      <c r="D136" t="inlineStr">
        <is>
          <t>Essentials of pharmacology for health occupations / Ruth Woodrow.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Woodrow, Ruth.</t>
        </is>
      </c>
      <c r="L136" t="inlineStr">
        <is>
          <t>Albany, N.Y. : Delmar Publishers, c1992 [i.e. 1991]</t>
        </is>
      </c>
      <c r="M136" t="inlineStr">
        <is>
          <t>1991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QV </t>
        </is>
      </c>
      <c r="S136" t="n">
        <v>9</v>
      </c>
      <c r="T136" t="n">
        <v>9</v>
      </c>
      <c r="U136" t="inlineStr">
        <is>
          <t>1998-01-23</t>
        </is>
      </c>
      <c r="V136" t="inlineStr">
        <is>
          <t>1998-01-23</t>
        </is>
      </c>
      <c r="W136" t="inlineStr">
        <is>
          <t>1992-02-28</t>
        </is>
      </c>
      <c r="X136" t="inlineStr">
        <is>
          <t>1992-02-28</t>
        </is>
      </c>
      <c r="Y136" t="n">
        <v>77</v>
      </c>
      <c r="Z136" t="n">
        <v>58</v>
      </c>
      <c r="AA136" t="n">
        <v>460</v>
      </c>
      <c r="AB136" t="n">
        <v>1</v>
      </c>
      <c r="AC136" t="n">
        <v>3</v>
      </c>
      <c r="AD136" t="n">
        <v>0</v>
      </c>
      <c r="AE136" t="n">
        <v>9</v>
      </c>
      <c r="AF136" t="n">
        <v>0</v>
      </c>
      <c r="AG136" t="n">
        <v>2</v>
      </c>
      <c r="AH136" t="n">
        <v>0</v>
      </c>
      <c r="AI136" t="n">
        <v>3</v>
      </c>
      <c r="AJ136" t="n">
        <v>0</v>
      </c>
      <c r="AK136" t="n">
        <v>4</v>
      </c>
      <c r="AL136" t="n">
        <v>0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HYPERLINK("https://creighton-primo.hosted.exlibrisgroup.com/primo-explore/search?tab=default_tab&amp;search_scope=EVERYTHING&amp;vid=01CRU&amp;lang=en_US&amp;offset=0&amp;query=any,contains,991001298029702656","Catalog Record")</f>
        <v/>
      </c>
      <c r="AT136">
        <f>HYPERLINK("http://www.worldcat.org/oclc/23286681","WorldCat Record")</f>
        <v/>
      </c>
    </row>
    <row r="137">
      <c r="A137" t="inlineStr">
        <is>
          <t>No</t>
        </is>
      </c>
      <c r="B137" t="inlineStr">
        <is>
          <t>QV 9 B616 1987</t>
        </is>
      </c>
      <c r="C137" t="inlineStr">
        <is>
          <t>0                      QV 0009000B  616         1987</t>
        </is>
      </c>
      <c r="D137" t="inlineStr">
        <is>
          <t>Biotechnologically derived medical agents : the scientific basis of their regulation : proceedings of a conference / sponsored and organized by Interscience, Paris, September 10-13, 1987 ; editors, John L. Gueriguian, Vittorio Fattorusso, Duilio Poggiolini.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New York, N.Y : Raven Press, c1988.</t>
        </is>
      </c>
      <c r="M137" t="inlineStr">
        <is>
          <t>1988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QV </t>
        </is>
      </c>
      <c r="S137" t="n">
        <v>3</v>
      </c>
      <c r="T137" t="n">
        <v>3</v>
      </c>
      <c r="U137" t="inlineStr">
        <is>
          <t>1995-06-20</t>
        </is>
      </c>
      <c r="V137" t="inlineStr">
        <is>
          <t>1995-06-20</t>
        </is>
      </c>
      <c r="W137" t="inlineStr">
        <is>
          <t>1989-02-17</t>
        </is>
      </c>
      <c r="X137" t="inlineStr">
        <is>
          <t>1989-02-17</t>
        </is>
      </c>
      <c r="Y137" t="n">
        <v>80</v>
      </c>
      <c r="Z137" t="n">
        <v>61</v>
      </c>
      <c r="AA137" t="n">
        <v>64</v>
      </c>
      <c r="AB137" t="n">
        <v>1</v>
      </c>
      <c r="AC137" t="n">
        <v>1</v>
      </c>
      <c r="AD137" t="n">
        <v>1</v>
      </c>
      <c r="AE137" t="n">
        <v>1</v>
      </c>
      <c r="AF137" t="n">
        <v>0</v>
      </c>
      <c r="AG137" t="n">
        <v>0</v>
      </c>
      <c r="AH137" t="n">
        <v>1</v>
      </c>
      <c r="AI137" t="n">
        <v>1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HYPERLINK("http://catalog.hathitrust.org/Record/001549921","HathiTrust Record")</f>
        <v/>
      </c>
      <c r="AS137">
        <f>HYPERLINK("https://creighton-primo.hosted.exlibrisgroup.com/primo-explore/search?tab=default_tab&amp;search_scope=EVERYTHING&amp;vid=01CRU&amp;lang=en_US&amp;offset=0&amp;query=any,contains,991001120879702656","Catalog Record")</f>
        <v/>
      </c>
      <c r="AT137">
        <f>HYPERLINK("http://www.worldcat.org/oclc/18537731","WorldCat Record")</f>
        <v/>
      </c>
    </row>
    <row r="138">
      <c r="A138" t="inlineStr">
        <is>
          <t>No</t>
        </is>
      </c>
      <c r="B138" t="inlineStr">
        <is>
          <t>QV 11 AA1 M5b 1962</t>
        </is>
      </c>
      <c r="C138" t="inlineStr">
        <is>
          <t>0                      QV 0011000AA 1                  M  5b          1962</t>
        </is>
      </c>
      <c r="D138" t="inlineStr">
        <is>
          <t>By their fruits : some historic contributions to the chemistry of life, with chapters by Selman A. Waksman and Vannevar Bush. [Ed. by Osgood Nichols]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Merck Sharp &amp; Dohme.</t>
        </is>
      </c>
      <c r="L138" t="inlineStr">
        <is>
          <t>Rahway, N. J. : Merck, 1963, c1962.</t>
        </is>
      </c>
      <c r="M138" t="inlineStr">
        <is>
          <t>1963</t>
        </is>
      </c>
      <c r="O138" t="inlineStr">
        <is>
          <t>eng</t>
        </is>
      </c>
      <c r="P138" t="inlineStr">
        <is>
          <t xml:space="preserve">xx </t>
        </is>
      </c>
      <c r="R138" t="inlineStr">
        <is>
          <t xml:space="preserve">QV </t>
        </is>
      </c>
      <c r="S138" t="n">
        <v>1</v>
      </c>
      <c r="T138" t="n">
        <v>1</v>
      </c>
      <c r="U138" t="inlineStr">
        <is>
          <t>1996-02-19</t>
        </is>
      </c>
      <c r="V138" t="inlineStr">
        <is>
          <t>1996-02-19</t>
        </is>
      </c>
      <c r="W138" t="inlineStr">
        <is>
          <t>1988-01-20</t>
        </is>
      </c>
      <c r="X138" t="inlineStr">
        <is>
          <t>1988-01-20</t>
        </is>
      </c>
      <c r="Y138" t="n">
        <v>23</v>
      </c>
      <c r="Z138" t="n">
        <v>23</v>
      </c>
      <c r="AA138" t="n">
        <v>23</v>
      </c>
      <c r="AB138" t="n">
        <v>1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HYPERLINK("https://creighton-primo.hosted.exlibrisgroup.com/primo-explore/search?tab=default_tab&amp;search_scope=EVERYTHING&amp;vid=01CRU&amp;lang=en_US&amp;offset=0&amp;query=any,contains,991000947949702656","Catalog Record")</f>
        <v/>
      </c>
      <c r="AT138">
        <f>HYPERLINK("http://www.worldcat.org/oclc/14549965","WorldCat Record")</f>
        <v/>
      </c>
    </row>
    <row r="139">
      <c r="A139" t="inlineStr">
        <is>
          <t>No</t>
        </is>
      </c>
      <c r="B139" t="inlineStr">
        <is>
          <t>QV 11 AA1 W722c 1998</t>
        </is>
      </c>
      <c r="C139" t="inlineStr">
        <is>
          <t>0                      QV 0011000AA 1                  W  722c        1998</t>
        </is>
      </c>
      <c r="D139" t="inlineStr">
        <is>
          <t>A century of service and beyond : a history of one hundred years of leadership for independent pharmacy / by C. Fred Williams.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Williams, C. Fred.</t>
        </is>
      </c>
      <c r="L139" t="inlineStr">
        <is>
          <t>Alexandria, VA : NCPA, c1998.</t>
        </is>
      </c>
      <c r="M139" t="inlineStr">
        <is>
          <t>1998</t>
        </is>
      </c>
      <c r="O139" t="inlineStr">
        <is>
          <t>eng</t>
        </is>
      </c>
      <c r="P139" t="inlineStr">
        <is>
          <t>vau</t>
        </is>
      </c>
      <c r="R139" t="inlineStr">
        <is>
          <t xml:space="preserve">QV </t>
        </is>
      </c>
      <c r="S139" t="n">
        <v>6</v>
      </c>
      <c r="T139" t="n">
        <v>6</v>
      </c>
      <c r="U139" t="inlineStr">
        <is>
          <t>2003-01-28</t>
        </is>
      </c>
      <c r="V139" t="inlineStr">
        <is>
          <t>2003-01-28</t>
        </is>
      </c>
      <c r="W139" t="inlineStr">
        <is>
          <t>1999-04-30</t>
        </is>
      </c>
      <c r="X139" t="inlineStr">
        <is>
          <t>1999-04-30</t>
        </is>
      </c>
      <c r="Y139" t="n">
        <v>54</v>
      </c>
      <c r="Z139" t="n">
        <v>52</v>
      </c>
      <c r="AA139" t="n">
        <v>54</v>
      </c>
      <c r="AB139" t="n">
        <v>1</v>
      </c>
      <c r="AC139" t="n">
        <v>1</v>
      </c>
      <c r="AD139" t="n">
        <v>3</v>
      </c>
      <c r="AE139" t="n">
        <v>3</v>
      </c>
      <c r="AF139" t="n">
        <v>2</v>
      </c>
      <c r="AG139" t="n">
        <v>2</v>
      </c>
      <c r="AH139" t="n">
        <v>1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HYPERLINK("http://catalog.hathitrust.org/Record/004198190","HathiTrust Record")</f>
        <v/>
      </c>
      <c r="AS139">
        <f>HYPERLINK("https://creighton-primo.hosted.exlibrisgroup.com/primo-explore/search?tab=default_tab&amp;search_scope=EVERYTHING&amp;vid=01CRU&amp;lang=en_US&amp;offset=0&amp;query=any,contains,991001557589702656","Catalog Record")</f>
        <v/>
      </c>
      <c r="AT139">
        <f>HYPERLINK("http://www.worldcat.org/oclc/40604657","WorldCat Record")</f>
        <v/>
      </c>
    </row>
    <row r="140">
      <c r="A140" t="inlineStr">
        <is>
          <t>No</t>
        </is>
      </c>
      <c r="B140" t="inlineStr">
        <is>
          <t>QV 11.1 P974 1978</t>
        </is>
      </c>
      <c r="C140" t="inlineStr">
        <is>
          <t>0                      QV 0011100P  974         1978</t>
        </is>
      </c>
      <c r="D140" t="inlineStr">
        <is>
          <t>Psychopharmacology : a generation of progress / editors, Morris A. Lipton, Alberto DiMascio, Keith F. Killam.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New York : Raven Press, 1981, c1978.</t>
        </is>
      </c>
      <c r="M140" t="inlineStr">
        <is>
          <t>1978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QV </t>
        </is>
      </c>
      <c r="S140" t="n">
        <v>8</v>
      </c>
      <c r="T140" t="n">
        <v>8</v>
      </c>
      <c r="U140" t="inlineStr">
        <is>
          <t>2010-03-25</t>
        </is>
      </c>
      <c r="V140" t="inlineStr">
        <is>
          <t>2010-03-25</t>
        </is>
      </c>
      <c r="W140" t="inlineStr">
        <is>
          <t>1988-01-27</t>
        </is>
      </c>
      <c r="X140" t="inlineStr">
        <is>
          <t>1988-01-27</t>
        </is>
      </c>
      <c r="Y140" t="n">
        <v>441</v>
      </c>
      <c r="Z140" t="n">
        <v>318</v>
      </c>
      <c r="AA140" t="n">
        <v>325</v>
      </c>
      <c r="AB140" t="n">
        <v>1</v>
      </c>
      <c r="AC140" t="n">
        <v>1</v>
      </c>
      <c r="AD140" t="n">
        <v>8</v>
      </c>
      <c r="AE140" t="n">
        <v>8</v>
      </c>
      <c r="AF140" t="n">
        <v>3</v>
      </c>
      <c r="AG140" t="n">
        <v>3</v>
      </c>
      <c r="AH140" t="n">
        <v>2</v>
      </c>
      <c r="AI140" t="n">
        <v>2</v>
      </c>
      <c r="AJ140" t="n">
        <v>7</v>
      </c>
      <c r="AK140" t="n">
        <v>7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HYPERLINK("http://catalog.hathitrust.org/Record/000751228","HathiTrust Record")</f>
        <v/>
      </c>
      <c r="AS140">
        <f>HYPERLINK("https://creighton-primo.hosted.exlibrisgroup.com/primo-explore/search?tab=default_tab&amp;search_scope=EVERYTHING&amp;vid=01CRU&amp;lang=en_US&amp;offset=0&amp;query=any,contains,991000947829702656","Catalog Record")</f>
        <v/>
      </c>
      <c r="AT140">
        <f>HYPERLINK("http://www.worldcat.org/oclc/3396533","WorldCat Record")</f>
        <v/>
      </c>
    </row>
    <row r="141">
      <c r="A141" t="inlineStr">
        <is>
          <t>No</t>
        </is>
      </c>
      <c r="B141" t="inlineStr">
        <is>
          <t>QV 11.1 S671d 1985</t>
        </is>
      </c>
      <c r="C141" t="inlineStr">
        <is>
          <t>0                      QV 0011100S  671d        1985</t>
        </is>
      </c>
      <c r="D141" t="inlineStr">
        <is>
          <t>Drug discovery : the evolution of modern medicines / Walter Sneader.</t>
        </is>
      </c>
      <c r="F141" t="inlineStr">
        <is>
          <t>No</t>
        </is>
      </c>
      <c r="G141" t="inlineStr">
        <is>
          <t>1</t>
        </is>
      </c>
      <c r="H141" t="inlineStr">
        <is>
          <t>Yes</t>
        </is>
      </c>
      <c r="I141" t="inlineStr">
        <is>
          <t>No</t>
        </is>
      </c>
      <c r="J141" t="inlineStr">
        <is>
          <t>0</t>
        </is>
      </c>
      <c r="K141" t="inlineStr">
        <is>
          <t>Sneader, Walter.</t>
        </is>
      </c>
      <c r="L141" t="inlineStr">
        <is>
          <t>Chichester ; New York : Wiley, c1985.</t>
        </is>
      </c>
      <c r="M141" t="inlineStr">
        <is>
          <t>1985</t>
        </is>
      </c>
      <c r="O141" t="inlineStr">
        <is>
          <t>eng</t>
        </is>
      </c>
      <c r="P141" t="inlineStr">
        <is>
          <t>enk</t>
        </is>
      </c>
      <c r="Q141" t="inlineStr">
        <is>
          <t>A Wiley medical publication</t>
        </is>
      </c>
      <c r="R141" t="inlineStr">
        <is>
          <t xml:space="preserve">QV </t>
        </is>
      </c>
      <c r="S141" t="n">
        <v>6</v>
      </c>
      <c r="T141" t="n">
        <v>6</v>
      </c>
      <c r="U141" t="inlineStr">
        <is>
          <t>1993-07-07</t>
        </is>
      </c>
      <c r="V141" t="inlineStr">
        <is>
          <t>1993-07-07</t>
        </is>
      </c>
      <c r="W141" t="inlineStr">
        <is>
          <t>1988-01-27</t>
        </is>
      </c>
      <c r="X141" t="inlineStr">
        <is>
          <t>1988-01-27</t>
        </is>
      </c>
      <c r="Y141" t="n">
        <v>361</v>
      </c>
      <c r="Z141" t="n">
        <v>261</v>
      </c>
      <c r="AA141" t="n">
        <v>263</v>
      </c>
      <c r="AB141" t="n">
        <v>4</v>
      </c>
      <c r="AC141" t="n">
        <v>4</v>
      </c>
      <c r="AD141" t="n">
        <v>15</v>
      </c>
      <c r="AE141" t="n">
        <v>15</v>
      </c>
      <c r="AF141" t="n">
        <v>5</v>
      </c>
      <c r="AG141" t="n">
        <v>5</v>
      </c>
      <c r="AH141" t="n">
        <v>4</v>
      </c>
      <c r="AI141" t="n">
        <v>4</v>
      </c>
      <c r="AJ141" t="n">
        <v>6</v>
      </c>
      <c r="AK141" t="n">
        <v>6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HYPERLINK("http://catalog.hathitrust.org/Record/000350318","HathiTrust Record")</f>
        <v/>
      </c>
      <c r="AS141">
        <f>HYPERLINK("https://creighton-primo.hosted.exlibrisgroup.com/primo-explore/search?tab=default_tab&amp;search_scope=EVERYTHING&amp;vid=01CRU&amp;lang=en_US&amp;offset=0&amp;query=any,contains,991000947679702656","Catalog Record")</f>
        <v/>
      </c>
      <c r="AT141">
        <f>HYPERLINK("http://www.worldcat.org/oclc/11650496","WorldCat Record")</f>
        <v/>
      </c>
    </row>
    <row r="142">
      <c r="A142" t="inlineStr">
        <is>
          <t>No</t>
        </is>
      </c>
      <c r="B142" t="inlineStr">
        <is>
          <t>QV 13 E56 2003</t>
        </is>
      </c>
      <c r="C142" t="inlineStr">
        <is>
          <t>0                      QV 0013000E  56          2003</t>
        </is>
      </c>
      <c r="D142" t="inlineStr">
        <is>
          <t>Encyclopedia of biopharmaceutical statistics / edited by Shein-Chung Chow.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New York : Marcel Dekker, c2003.</t>
        </is>
      </c>
      <c r="M142" t="inlineStr">
        <is>
          <t>2003</t>
        </is>
      </c>
      <c r="N142" t="inlineStr">
        <is>
          <t>2nd ed., rev. and expanded.</t>
        </is>
      </c>
      <c r="O142" t="inlineStr">
        <is>
          <t>eng</t>
        </is>
      </c>
      <c r="P142" t="inlineStr">
        <is>
          <t>nyu</t>
        </is>
      </c>
      <c r="R142" t="inlineStr">
        <is>
          <t xml:space="preserve">QV </t>
        </is>
      </c>
      <c r="S142" t="n">
        <v>1</v>
      </c>
      <c r="T142" t="n">
        <v>1</v>
      </c>
      <c r="U142" t="inlineStr">
        <is>
          <t>2009-08-14</t>
        </is>
      </c>
      <c r="V142" t="inlineStr">
        <is>
          <t>2009-08-14</t>
        </is>
      </c>
      <c r="W142" t="inlineStr">
        <is>
          <t>2004-09-29</t>
        </is>
      </c>
      <c r="X142" t="inlineStr">
        <is>
          <t>2004-09-29</t>
        </is>
      </c>
      <c r="Y142" t="n">
        <v>108</v>
      </c>
      <c r="Z142" t="n">
        <v>72</v>
      </c>
      <c r="AA142" t="n">
        <v>167</v>
      </c>
      <c r="AB142" t="n">
        <v>1</v>
      </c>
      <c r="AC142" t="n">
        <v>1</v>
      </c>
      <c r="AD142" t="n">
        <v>1</v>
      </c>
      <c r="AE142" t="n">
        <v>2</v>
      </c>
      <c r="AF142" t="n">
        <v>0</v>
      </c>
      <c r="AG142" t="n">
        <v>1</v>
      </c>
      <c r="AH142" t="n">
        <v>1</v>
      </c>
      <c r="AI142" t="n">
        <v>1</v>
      </c>
      <c r="AJ142" t="n">
        <v>0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HYPERLINK("https://creighton-primo.hosted.exlibrisgroup.com/primo-explore/search?tab=default_tab&amp;search_scope=EVERYTHING&amp;vid=01CRU&amp;lang=en_US&amp;offset=0&amp;query=any,contains,991000398799702656","Catalog Record")</f>
        <v/>
      </c>
      <c r="AT142">
        <f>HYPERLINK("http://www.worldcat.org/oclc/52109678","WorldCat Record")</f>
        <v/>
      </c>
    </row>
    <row r="143">
      <c r="A143" t="inlineStr">
        <is>
          <t>No</t>
        </is>
      </c>
      <c r="B143" t="inlineStr">
        <is>
          <t>QV 13 L776 1987</t>
        </is>
      </c>
      <c r="C143" t="inlineStr">
        <is>
          <t>0                      QV 0013000L  776         1987</t>
        </is>
      </c>
      <c r="D143" t="inlineStr">
        <is>
          <t>Lithium encyclopedia for clinical practice / by James W. Jefferson ... [et al.].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Washington, DC : American Psychiatric Press, c1987.</t>
        </is>
      </c>
      <c r="M143" t="inlineStr">
        <is>
          <t>1987</t>
        </is>
      </c>
      <c r="N143" t="inlineStr">
        <is>
          <t>2nd ed.</t>
        </is>
      </c>
      <c r="O143" t="inlineStr">
        <is>
          <t>eng</t>
        </is>
      </c>
      <c r="P143" t="inlineStr">
        <is>
          <t>xxu</t>
        </is>
      </c>
      <c r="R143" t="inlineStr">
        <is>
          <t xml:space="preserve">QV </t>
        </is>
      </c>
      <c r="S143" t="n">
        <v>13</v>
      </c>
      <c r="T143" t="n">
        <v>13</v>
      </c>
      <c r="U143" t="inlineStr">
        <is>
          <t>1993-04-20</t>
        </is>
      </c>
      <c r="V143" t="inlineStr">
        <is>
          <t>1993-04-20</t>
        </is>
      </c>
      <c r="W143" t="inlineStr">
        <is>
          <t>1988-01-27</t>
        </is>
      </c>
      <c r="X143" t="inlineStr">
        <is>
          <t>1988-01-27</t>
        </is>
      </c>
      <c r="Y143" t="n">
        <v>127</v>
      </c>
      <c r="Z143" t="n">
        <v>94</v>
      </c>
      <c r="AA143" t="n">
        <v>157</v>
      </c>
      <c r="AB143" t="n">
        <v>1</v>
      </c>
      <c r="AC143" t="n">
        <v>1</v>
      </c>
      <c r="AD143" t="n">
        <v>3</v>
      </c>
      <c r="AE143" t="n">
        <v>5</v>
      </c>
      <c r="AF143" t="n">
        <v>0</v>
      </c>
      <c r="AG143" t="n">
        <v>1</v>
      </c>
      <c r="AH143" t="n">
        <v>0</v>
      </c>
      <c r="AI143" t="n">
        <v>1</v>
      </c>
      <c r="AJ143" t="n">
        <v>3</v>
      </c>
      <c r="AK143" t="n">
        <v>4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HYPERLINK("https://creighton-primo.hosted.exlibrisgroup.com/primo-explore/search?tab=default_tab&amp;search_scope=EVERYTHING&amp;vid=01CRU&amp;lang=en_US&amp;offset=0&amp;query=any,contains,991000947719702656","Catalog Record")</f>
        <v/>
      </c>
      <c r="AT143">
        <f>HYPERLINK("http://www.worldcat.org/oclc/14692695","WorldCat Record")</f>
        <v/>
      </c>
    </row>
    <row r="144">
      <c r="A144" t="inlineStr">
        <is>
          <t>No</t>
        </is>
      </c>
      <c r="B144" t="inlineStr">
        <is>
          <t>QV 13 M347p 1990</t>
        </is>
      </c>
      <c r="C144" t="inlineStr">
        <is>
          <t>0                      QV 0013000M  347p        1990</t>
        </is>
      </c>
      <c r="D144" t="inlineStr">
        <is>
          <t>Pharmacological and chemical synonyms : a collection of names of drugs, pesticides and other compounds drawn from the medical literature of the world / compiled by E.E.J. Marler.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Marler, E. E. J.</t>
        </is>
      </c>
      <c r="L144" t="inlineStr">
        <is>
          <t>Amsterdam ; New York : Elsevier, c1990.</t>
        </is>
      </c>
      <c r="M144" t="inlineStr">
        <is>
          <t>1990</t>
        </is>
      </c>
      <c r="N144" t="inlineStr">
        <is>
          <t>9th ed.</t>
        </is>
      </c>
      <c r="O144" t="inlineStr">
        <is>
          <t>eng</t>
        </is>
      </c>
      <c r="P144" t="inlineStr">
        <is>
          <t xml:space="preserve">ne </t>
        </is>
      </c>
      <c r="R144" t="inlineStr">
        <is>
          <t xml:space="preserve">QV </t>
        </is>
      </c>
      <c r="S144" t="n">
        <v>2</v>
      </c>
      <c r="T144" t="n">
        <v>2</v>
      </c>
      <c r="U144" t="inlineStr">
        <is>
          <t>1990-08-16</t>
        </is>
      </c>
      <c r="V144" t="inlineStr">
        <is>
          <t>1990-08-16</t>
        </is>
      </c>
      <c r="W144" t="inlineStr">
        <is>
          <t>1990-08-16</t>
        </is>
      </c>
      <c r="X144" t="inlineStr">
        <is>
          <t>1990-08-16</t>
        </is>
      </c>
      <c r="Y144" t="n">
        <v>192</v>
      </c>
      <c r="Z144" t="n">
        <v>121</v>
      </c>
      <c r="AA144" t="n">
        <v>349</v>
      </c>
      <c r="AB144" t="n">
        <v>2</v>
      </c>
      <c r="AC144" t="n">
        <v>2</v>
      </c>
      <c r="AD144" t="n">
        <v>3</v>
      </c>
      <c r="AE144" t="n">
        <v>6</v>
      </c>
      <c r="AF144" t="n">
        <v>0</v>
      </c>
      <c r="AG144" t="n">
        <v>0</v>
      </c>
      <c r="AH144" t="n">
        <v>0</v>
      </c>
      <c r="AI144" t="n">
        <v>2</v>
      </c>
      <c r="AJ144" t="n">
        <v>2</v>
      </c>
      <c r="AK144" t="n">
        <v>3</v>
      </c>
      <c r="AL144" t="n">
        <v>1</v>
      </c>
      <c r="AM144" t="n">
        <v>1</v>
      </c>
      <c r="AN144" t="n">
        <v>0</v>
      </c>
      <c r="AO144" t="n">
        <v>1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HYPERLINK("http://catalog.hathitrust.org/Record/001828265","HathiTrust Record")</f>
        <v/>
      </c>
      <c r="AS144">
        <f>HYPERLINK("https://creighton-primo.hosted.exlibrisgroup.com/primo-explore/search?tab=default_tab&amp;search_scope=EVERYTHING&amp;vid=01CRU&amp;lang=en_US&amp;offset=0&amp;query=any,contains,991001453649702656","Catalog Record")</f>
        <v/>
      </c>
      <c r="AT144">
        <f>HYPERLINK("http://www.worldcat.org/oclc/22542134","WorldCat Record")</f>
        <v/>
      </c>
    </row>
    <row r="145">
      <c r="A145" t="inlineStr">
        <is>
          <t>No</t>
        </is>
      </c>
      <c r="B145" t="inlineStr">
        <is>
          <t>QV 15 S979i 1992-93</t>
        </is>
      </c>
      <c r="C145" t="inlineStr">
        <is>
          <t>0                      QV 0015000S  979i        1992                                        -93</t>
        </is>
      </c>
      <c r="D145" t="inlineStr">
        <is>
      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Stuttgart : Medpharm Scientific Publishers, c1992.</t>
        </is>
      </c>
      <c r="M145" t="inlineStr">
        <is>
          <t>1992</t>
        </is>
      </c>
      <c r="N145" t="inlineStr">
        <is>
          <t>[15th ed.]</t>
        </is>
      </c>
      <c r="O145" t="inlineStr">
        <is>
          <t>eng</t>
        </is>
      </c>
      <c r="P145" t="inlineStr">
        <is>
          <t xml:space="preserve">gw </t>
        </is>
      </c>
      <c r="R145" t="inlineStr">
        <is>
          <t xml:space="preserve">QV </t>
        </is>
      </c>
      <c r="S145" t="n">
        <v>5</v>
      </c>
      <c r="T145" t="n">
        <v>5</v>
      </c>
      <c r="U145" t="inlineStr">
        <is>
          <t>1992-11-05</t>
        </is>
      </c>
      <c r="V145" t="inlineStr">
        <is>
          <t>1992-11-05</t>
        </is>
      </c>
      <c r="W145" t="inlineStr">
        <is>
          <t>1992-10-20</t>
        </is>
      </c>
      <c r="X145" t="inlineStr">
        <is>
          <t>1992-10-20</t>
        </is>
      </c>
      <c r="Y145" t="n">
        <v>29</v>
      </c>
      <c r="Z145" t="n">
        <v>15</v>
      </c>
      <c r="AA145" t="n">
        <v>15</v>
      </c>
      <c r="AB145" t="n">
        <v>1</v>
      </c>
      <c r="AC145" t="n">
        <v>1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HYPERLINK("https://creighton-primo.hosted.exlibrisgroup.com/primo-explore/search?tab=default_tab&amp;search_scope=EVERYTHING&amp;vid=01CRU&amp;lang=en_US&amp;offset=0&amp;query=any,contains,991001344199702656","Catalog Record")</f>
        <v/>
      </c>
      <c r="AT145">
        <f>HYPERLINK("http://www.worldcat.org/oclc/26733640","WorldCat Record")</f>
        <v/>
      </c>
    </row>
    <row r="146">
      <c r="A146" t="inlineStr">
        <is>
          <t>No</t>
        </is>
      </c>
      <c r="B146" t="inlineStr">
        <is>
          <t>QV 16 D186c 1990</t>
        </is>
      </c>
      <c r="C146" t="inlineStr">
        <is>
          <t>0                      QV 0016000D  186c        1990</t>
        </is>
      </c>
      <c r="D146" t="inlineStr">
        <is>
          <t>Clinical calculations : a unified approach / Joanne M. Daniels, Loretta M. Smith.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Daniels, Joanne M.</t>
        </is>
      </c>
      <c r="L146" t="inlineStr">
        <is>
          <t>Albany, N.Y. : Delmar Publishers, c1990.</t>
        </is>
      </c>
      <c r="M146" t="inlineStr">
        <is>
          <t>1990</t>
        </is>
      </c>
      <c r="N146" t="inlineStr">
        <is>
          <t>2nd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QV </t>
        </is>
      </c>
      <c r="S146" t="n">
        <v>3</v>
      </c>
      <c r="T146" t="n">
        <v>3</v>
      </c>
      <c r="U146" t="inlineStr">
        <is>
          <t>2005-08-27</t>
        </is>
      </c>
      <c r="V146" t="inlineStr">
        <is>
          <t>2005-08-27</t>
        </is>
      </c>
      <c r="W146" t="inlineStr">
        <is>
          <t>1994-09-23</t>
        </is>
      </c>
      <c r="X146" t="inlineStr">
        <is>
          <t>1994-09-23</t>
        </is>
      </c>
      <c r="Y146" t="n">
        <v>61</v>
      </c>
      <c r="Z146" t="n">
        <v>48</v>
      </c>
      <c r="AA146" t="n">
        <v>262</v>
      </c>
      <c r="AB146" t="n">
        <v>2</v>
      </c>
      <c r="AC146" t="n">
        <v>2</v>
      </c>
      <c r="AD146" t="n">
        <v>1</v>
      </c>
      <c r="AE146" t="n">
        <v>5</v>
      </c>
      <c r="AF146" t="n">
        <v>0</v>
      </c>
      <c r="AG146" t="n">
        <v>3</v>
      </c>
      <c r="AH146" t="n">
        <v>0</v>
      </c>
      <c r="AI146" t="n">
        <v>0</v>
      </c>
      <c r="AJ146" t="n">
        <v>0</v>
      </c>
      <c r="AK146" t="n">
        <v>3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HYPERLINK("http://catalog.hathitrust.org/Record/002204544","HathiTrust Record")</f>
        <v/>
      </c>
      <c r="AS146">
        <f>HYPERLINK("https://creighton-primo.hosted.exlibrisgroup.com/primo-explore/search?tab=default_tab&amp;search_scope=EVERYTHING&amp;vid=01CRU&amp;lang=en_US&amp;offset=0&amp;query=any,contains,991000680929702656","Catalog Record")</f>
        <v/>
      </c>
      <c r="AT146">
        <f>HYPERLINK("http://www.worldcat.org/oclc/19672212","WorldCat Record")</f>
        <v/>
      </c>
    </row>
    <row r="147">
      <c r="A147" t="inlineStr">
        <is>
          <t>No</t>
        </is>
      </c>
      <c r="B147" t="inlineStr">
        <is>
          <t>QV16 D794 1999</t>
        </is>
      </c>
      <c r="C147" t="inlineStr">
        <is>
          <t>0                      QV 0016000D  794         1999</t>
        </is>
      </c>
      <c r="D147" t="inlineStr">
        <is>
          <t>Drug prescribing in renal failure : dosing guidelines for adults / George R. Aronoff ... [et al.].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Philadelphia, Pa. : American College of Physicians, c1999.</t>
        </is>
      </c>
      <c r="M147" t="inlineStr">
        <is>
          <t>1999</t>
        </is>
      </c>
      <c r="N147" t="inlineStr">
        <is>
          <t>4th ed.</t>
        </is>
      </c>
      <c r="O147" t="inlineStr">
        <is>
          <t>eng</t>
        </is>
      </c>
      <c r="P147" t="inlineStr">
        <is>
          <t>pau</t>
        </is>
      </c>
      <c r="R147" t="inlineStr">
        <is>
          <t xml:space="preserve">QV </t>
        </is>
      </c>
      <c r="S147" t="n">
        <v>5</v>
      </c>
      <c r="T147" t="n">
        <v>5</v>
      </c>
      <c r="U147" t="inlineStr">
        <is>
          <t>2006-12-19</t>
        </is>
      </c>
      <c r="V147" t="inlineStr">
        <is>
          <t>2006-12-19</t>
        </is>
      </c>
      <c r="W147" t="inlineStr">
        <is>
          <t>2004-11-22</t>
        </is>
      </c>
      <c r="X147" t="inlineStr">
        <is>
          <t>2004-11-22</t>
        </is>
      </c>
      <c r="Y147" t="n">
        <v>136</v>
      </c>
      <c r="Z147" t="n">
        <v>98</v>
      </c>
      <c r="AA147" t="n">
        <v>225</v>
      </c>
      <c r="AB147" t="n">
        <v>2</v>
      </c>
      <c r="AC147" t="n">
        <v>2</v>
      </c>
      <c r="AD147" t="n">
        <v>3</v>
      </c>
      <c r="AE147" t="n">
        <v>8</v>
      </c>
      <c r="AF147" t="n">
        <v>1</v>
      </c>
      <c r="AG147" t="n">
        <v>5</v>
      </c>
      <c r="AH147" t="n">
        <v>2</v>
      </c>
      <c r="AI147" t="n">
        <v>2</v>
      </c>
      <c r="AJ147" t="n">
        <v>0</v>
      </c>
      <c r="AK147" t="n">
        <v>2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HYPERLINK("http://catalog.hathitrust.org/Record/004026559","HathiTrust Record")</f>
        <v/>
      </c>
      <c r="AS147">
        <f>HYPERLINK("https://creighton-primo.hosted.exlibrisgroup.com/primo-explore/search?tab=default_tab&amp;search_scope=EVERYTHING&amp;vid=01CRU&amp;lang=en_US&amp;offset=0&amp;query=any,contains,991000414209702656","Catalog Record")</f>
        <v/>
      </c>
      <c r="AT147">
        <f>HYPERLINK("http://www.worldcat.org/oclc/39891402","WorldCat Record")</f>
        <v/>
      </c>
    </row>
    <row r="148">
      <c r="A148" t="inlineStr">
        <is>
          <t>No</t>
        </is>
      </c>
      <c r="B148" t="inlineStr">
        <is>
          <t>QV 16 R863c 1976</t>
        </is>
      </c>
      <c r="C148" t="inlineStr">
        <is>
          <t>0                      QV 0016000R  863c        1976</t>
        </is>
      </c>
      <c r="D148" t="inlineStr">
        <is>
          <t>Calculations in pharmacy / Sue H. Rouse and M. George Webber.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Rouse, Sue H.</t>
        </is>
      </c>
      <c r="L148" t="inlineStr">
        <is>
          <t>Philadelphia : Lippincott, c1976.</t>
        </is>
      </c>
      <c r="M148" t="inlineStr">
        <is>
          <t>1976</t>
        </is>
      </c>
      <c r="N148" t="inlineStr">
        <is>
          <t>3rd ed.</t>
        </is>
      </c>
      <c r="O148" t="inlineStr">
        <is>
          <t>eng</t>
        </is>
      </c>
      <c r="P148" t="inlineStr">
        <is>
          <t>pau</t>
        </is>
      </c>
      <c r="R148" t="inlineStr">
        <is>
          <t xml:space="preserve">QV </t>
        </is>
      </c>
      <c r="S148" t="n">
        <v>13</v>
      </c>
      <c r="T148" t="n">
        <v>13</v>
      </c>
      <c r="U148" t="inlineStr">
        <is>
          <t>2003-10-08</t>
        </is>
      </c>
      <c r="V148" t="inlineStr">
        <is>
          <t>2003-10-08</t>
        </is>
      </c>
      <c r="W148" t="inlineStr">
        <is>
          <t>1988-01-20</t>
        </is>
      </c>
      <c r="X148" t="inlineStr">
        <is>
          <t>1988-01-20</t>
        </is>
      </c>
      <c r="Y148" t="n">
        <v>76</v>
      </c>
      <c r="Z148" t="n">
        <v>60</v>
      </c>
      <c r="AA148" t="n">
        <v>97</v>
      </c>
      <c r="AB148" t="n">
        <v>2</v>
      </c>
      <c r="AC148" t="n">
        <v>2</v>
      </c>
      <c r="AD148" t="n">
        <v>5</v>
      </c>
      <c r="AE148" t="n">
        <v>8</v>
      </c>
      <c r="AF148" t="n">
        <v>2</v>
      </c>
      <c r="AG148" t="n">
        <v>5</v>
      </c>
      <c r="AH148" t="n">
        <v>2</v>
      </c>
      <c r="AI148" t="n">
        <v>3</v>
      </c>
      <c r="AJ148" t="n">
        <v>0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HYPERLINK("https://creighton-primo.hosted.exlibrisgroup.com/primo-explore/search?tab=default_tab&amp;search_scope=EVERYTHING&amp;vid=01CRU&amp;lang=en_US&amp;offset=0&amp;query=any,contains,991000948529702656","Catalog Record")</f>
        <v/>
      </c>
      <c r="AT148">
        <f>HYPERLINK("http://www.worldcat.org/oclc/1659685","WorldCat Record")</f>
        <v/>
      </c>
    </row>
    <row r="149">
      <c r="A149" t="inlineStr">
        <is>
          <t>No</t>
        </is>
      </c>
      <c r="B149" t="inlineStr">
        <is>
          <t>QV 16 S874p 1986</t>
        </is>
      </c>
      <c r="C149" t="inlineStr">
        <is>
          <t>0                      QV 0016000S  874p        1986</t>
        </is>
      </c>
      <c r="D149" t="inlineStr">
        <is>
          <t>Pharmaceutical calculations / Mitchell J. Stoklosa and Howard C. Ansel.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Stoklosa, Mitchell J.</t>
        </is>
      </c>
      <c r="L149" t="inlineStr">
        <is>
          <t>Philadelphia : Lea &amp; Febiger, c1986.</t>
        </is>
      </c>
      <c r="M149" t="inlineStr">
        <is>
          <t>1986</t>
        </is>
      </c>
      <c r="N149" t="inlineStr">
        <is>
          <t>8th ed.</t>
        </is>
      </c>
      <c r="O149" t="inlineStr">
        <is>
          <t>eng</t>
        </is>
      </c>
      <c r="P149" t="inlineStr">
        <is>
          <t>xxu</t>
        </is>
      </c>
      <c r="R149" t="inlineStr">
        <is>
          <t xml:space="preserve">QV </t>
        </is>
      </c>
      <c r="S149" t="n">
        <v>35</v>
      </c>
      <c r="T149" t="n">
        <v>35</v>
      </c>
      <c r="U149" t="inlineStr">
        <is>
          <t>2003-09-24</t>
        </is>
      </c>
      <c r="V149" t="inlineStr">
        <is>
          <t>2003-09-24</t>
        </is>
      </c>
      <c r="W149" t="inlineStr">
        <is>
          <t>1987-09-28</t>
        </is>
      </c>
      <c r="X149" t="inlineStr">
        <is>
          <t>1987-09-28</t>
        </is>
      </c>
      <c r="Y149" t="n">
        <v>121</v>
      </c>
      <c r="Z149" t="n">
        <v>94</v>
      </c>
      <c r="AA149" t="n">
        <v>461</v>
      </c>
      <c r="AB149" t="n">
        <v>1</v>
      </c>
      <c r="AC149" t="n">
        <v>4</v>
      </c>
      <c r="AD149" t="n">
        <v>2</v>
      </c>
      <c r="AE149" t="n">
        <v>17</v>
      </c>
      <c r="AF149" t="n">
        <v>1</v>
      </c>
      <c r="AG149" t="n">
        <v>11</v>
      </c>
      <c r="AH149" t="n">
        <v>1</v>
      </c>
      <c r="AI149" t="n">
        <v>4</v>
      </c>
      <c r="AJ149" t="n">
        <v>0</v>
      </c>
      <c r="AK149" t="n">
        <v>5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HYPERLINK("http://catalog.hathitrust.org/Record/000378449","HathiTrust Record")</f>
        <v/>
      </c>
      <c r="AS149">
        <f>HYPERLINK("https://creighton-primo.hosted.exlibrisgroup.com/primo-explore/search?tab=default_tab&amp;search_scope=EVERYTHING&amp;vid=01CRU&amp;lang=en_US&amp;offset=0&amp;query=any,contains,991000747399702656","Catalog Record")</f>
        <v/>
      </c>
      <c r="AT149">
        <f>HYPERLINK("http://www.worldcat.org/oclc/12237530","WorldCat Record")</f>
        <v/>
      </c>
    </row>
    <row r="150">
      <c r="A150" t="inlineStr">
        <is>
          <t>No</t>
        </is>
      </c>
      <c r="B150" t="inlineStr">
        <is>
          <t>QV 16 S874p 1991</t>
        </is>
      </c>
      <c r="C150" t="inlineStr">
        <is>
          <t>0                      QV 0016000S  874p        1991</t>
        </is>
      </c>
      <c r="D150" t="inlineStr">
        <is>
          <t>Pharmaceutical calculations / Mitchell J. Stoklosa and Howard C. Ansel.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Yes</t>
        </is>
      </c>
      <c r="J150" t="inlineStr">
        <is>
          <t>0</t>
        </is>
      </c>
      <c r="K150" t="inlineStr">
        <is>
          <t>Stoklosa, Mitchell J.</t>
        </is>
      </c>
      <c r="L150" t="inlineStr">
        <is>
          <t>Philadelphia : Lea &amp; Febiger, c1991.</t>
        </is>
      </c>
      <c r="M150" t="inlineStr">
        <is>
          <t>1991</t>
        </is>
      </c>
      <c r="N150" t="inlineStr">
        <is>
          <t>9th ed.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QV </t>
        </is>
      </c>
      <c r="S150" t="n">
        <v>51</v>
      </c>
      <c r="T150" t="n">
        <v>51</v>
      </c>
      <c r="U150" t="inlineStr">
        <is>
          <t>2003-10-08</t>
        </is>
      </c>
      <c r="V150" t="inlineStr">
        <is>
          <t>2003-10-08</t>
        </is>
      </c>
      <c r="W150" t="inlineStr">
        <is>
          <t>1991-07-26</t>
        </is>
      </c>
      <c r="X150" t="inlineStr">
        <is>
          <t>1991-07-26</t>
        </is>
      </c>
      <c r="Y150" t="n">
        <v>103</v>
      </c>
      <c r="Z150" t="n">
        <v>64</v>
      </c>
      <c r="AA150" t="n">
        <v>461</v>
      </c>
      <c r="AB150" t="n">
        <v>1</v>
      </c>
      <c r="AC150" t="n">
        <v>4</v>
      </c>
      <c r="AD150" t="n">
        <v>3</v>
      </c>
      <c r="AE150" t="n">
        <v>17</v>
      </c>
      <c r="AF150" t="n">
        <v>2</v>
      </c>
      <c r="AG150" t="n">
        <v>11</v>
      </c>
      <c r="AH150" t="n">
        <v>1</v>
      </c>
      <c r="AI150" t="n">
        <v>4</v>
      </c>
      <c r="AJ150" t="n">
        <v>1</v>
      </c>
      <c r="AK150" t="n">
        <v>5</v>
      </c>
      <c r="AL150" t="n">
        <v>0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HYPERLINK("http://catalog.hathitrust.org/Record/002473741","HathiTrust Record")</f>
        <v/>
      </c>
      <c r="AS150">
        <f>HYPERLINK("https://creighton-primo.hosted.exlibrisgroup.com/primo-explore/search?tab=default_tab&amp;search_scope=EVERYTHING&amp;vid=01CRU&amp;lang=en_US&amp;offset=0&amp;query=any,contains,991000944289702656","Catalog Record")</f>
        <v/>
      </c>
      <c r="AT150">
        <f>HYPERLINK("http://www.worldcat.org/oclc/22596271","WorldCat Record")</f>
        <v/>
      </c>
    </row>
    <row r="151">
      <c r="A151" t="inlineStr">
        <is>
          <t>No</t>
        </is>
      </c>
      <c r="B151" t="inlineStr">
        <is>
          <t>QV 16 S874p 1996</t>
        </is>
      </c>
      <c r="C151" t="inlineStr">
        <is>
          <t>0                      QV 0016000S  874p        1996</t>
        </is>
      </c>
      <c r="D151" t="inlineStr">
        <is>
          <t>Pharmaceutical calculations.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Yes</t>
        </is>
      </c>
      <c r="J151" t="inlineStr">
        <is>
          <t>0</t>
        </is>
      </c>
      <c r="K151" t="inlineStr">
        <is>
          <t>Stoklosa, Mitchell J.</t>
        </is>
      </c>
      <c r="L151" t="inlineStr">
        <is>
          <t>Baltimore : Williams &amp; Wilkins, c1996.</t>
        </is>
      </c>
      <c r="M151" t="inlineStr">
        <is>
          <t>1996</t>
        </is>
      </c>
      <c r="N151" t="inlineStr">
        <is>
          <t>10th ed. / Mitchell J. Stoklosa, Howard C. Ansel.</t>
        </is>
      </c>
      <c r="O151" t="inlineStr">
        <is>
          <t>eng</t>
        </is>
      </c>
      <c r="P151" t="inlineStr">
        <is>
          <t>mdu</t>
        </is>
      </c>
      <c r="R151" t="inlineStr">
        <is>
          <t xml:space="preserve">QV </t>
        </is>
      </c>
      <c r="S151" t="n">
        <v>93</v>
      </c>
      <c r="T151" t="n">
        <v>93</v>
      </c>
      <c r="U151" t="inlineStr">
        <is>
          <t>2008-08-27</t>
        </is>
      </c>
      <c r="V151" t="inlineStr">
        <is>
          <t>2008-08-27</t>
        </is>
      </c>
      <c r="W151" t="inlineStr">
        <is>
          <t>1996-09-10</t>
        </is>
      </c>
      <c r="X151" t="inlineStr">
        <is>
          <t>1996-09-10</t>
        </is>
      </c>
      <c r="Y151" t="n">
        <v>133</v>
      </c>
      <c r="Z151" t="n">
        <v>82</v>
      </c>
      <c r="AA151" t="n">
        <v>461</v>
      </c>
      <c r="AB151" t="n">
        <v>1</v>
      </c>
      <c r="AC151" t="n">
        <v>4</v>
      </c>
      <c r="AD151" t="n">
        <v>1</v>
      </c>
      <c r="AE151" t="n">
        <v>17</v>
      </c>
      <c r="AF151" t="n">
        <v>1</v>
      </c>
      <c r="AG151" t="n">
        <v>11</v>
      </c>
      <c r="AH151" t="n">
        <v>0</v>
      </c>
      <c r="AI151" t="n">
        <v>4</v>
      </c>
      <c r="AJ151" t="n">
        <v>0</v>
      </c>
      <c r="AK151" t="n">
        <v>5</v>
      </c>
      <c r="AL151" t="n">
        <v>0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HYPERLINK("http://catalog.hathitrust.org/Record/003022923","HathiTrust Record")</f>
        <v/>
      </c>
      <c r="AS151">
        <f>HYPERLINK("https://creighton-primo.hosted.exlibrisgroup.com/primo-explore/search?tab=default_tab&amp;search_scope=EVERYTHING&amp;vid=01CRU&amp;lang=en_US&amp;offset=0&amp;query=any,contains,991000835919702656","Catalog Record")</f>
        <v/>
      </c>
      <c r="AT151">
        <f>HYPERLINK("http://www.worldcat.org/oclc/32968804","WorldCat Record")</f>
        <v/>
      </c>
    </row>
    <row r="152">
      <c r="A152" t="inlineStr">
        <is>
          <t>No</t>
        </is>
      </c>
      <c r="B152" t="inlineStr">
        <is>
          <t>QV 16 S936c 1903</t>
        </is>
      </c>
      <c r="C152" t="inlineStr">
        <is>
          <t>0                      QV 0016000S  936c        1903</t>
        </is>
      </c>
      <c r="D152" t="inlineStr">
        <is>
          <t>Course in pharmaceutical and chemical arithmetic : including weights and measures / by Julius William Sturmer.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Sturmer, Julius William, 1870-1952.</t>
        </is>
      </c>
      <c r="L152" t="inlineStr">
        <is>
          <t>[Phiadelphia] : The author, c1903.</t>
        </is>
      </c>
      <c r="M152" t="inlineStr">
        <is>
          <t>1903</t>
        </is>
      </c>
      <c r="N152" t="inlineStr">
        <is>
          <t>3rd. ed., with answers.</t>
        </is>
      </c>
      <c r="O152" t="inlineStr">
        <is>
          <t>eng</t>
        </is>
      </c>
      <c r="P152" t="inlineStr">
        <is>
          <t xml:space="preserve">xx </t>
        </is>
      </c>
      <c r="R152" t="inlineStr">
        <is>
          <t xml:space="preserve">QV </t>
        </is>
      </c>
      <c r="S152" t="n">
        <v>5</v>
      </c>
      <c r="T152" t="n">
        <v>5</v>
      </c>
      <c r="U152" t="inlineStr">
        <is>
          <t>1991-09-20</t>
        </is>
      </c>
      <c r="V152" t="inlineStr">
        <is>
          <t>1991-09-20</t>
        </is>
      </c>
      <c r="W152" t="inlineStr">
        <is>
          <t>1988-01-27</t>
        </is>
      </c>
      <c r="X152" t="inlineStr">
        <is>
          <t>1988-01-27</t>
        </is>
      </c>
      <c r="Y152" t="n">
        <v>7</v>
      </c>
      <c r="Z152" t="n">
        <v>7</v>
      </c>
      <c r="AA152" t="n">
        <v>69</v>
      </c>
      <c r="AB152" t="n">
        <v>1</v>
      </c>
      <c r="AC152" t="n">
        <v>1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HYPERLINK("https://creighton-primo.hosted.exlibrisgroup.com/primo-explore/search?tab=default_tab&amp;search_scope=EVERYTHING&amp;vid=01CRU&amp;lang=en_US&amp;offset=0&amp;query=any,contains,991000948609702656","Catalog Record")</f>
        <v/>
      </c>
      <c r="AT152">
        <f>HYPERLINK("http://www.worldcat.org/oclc/3754693","WorldCat Record")</f>
        <v/>
      </c>
    </row>
    <row r="153">
      <c r="A153" t="inlineStr">
        <is>
          <t>No</t>
        </is>
      </c>
      <c r="B153" t="inlineStr">
        <is>
          <t>QV 18 A813p 1994</t>
        </is>
      </c>
      <c r="C153" t="inlineStr">
        <is>
          <t>0                      QV 0018000A  813p        1994</t>
        </is>
      </c>
      <c r="D153" t="inlineStr">
        <is>
          <t>Principles of drug information and scientific literature evaluation / Frank J. Ascione, Carol Colvin Manifold, Mary A. Parenti.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Ascione, Frank J., 1946-</t>
        </is>
      </c>
      <c r="L153" t="inlineStr">
        <is>
          <t>Hamilton, Ill. : Drug Intelligence Publication, c1994.</t>
        </is>
      </c>
      <c r="M153" t="inlineStr">
        <is>
          <t>1994</t>
        </is>
      </c>
      <c r="O153" t="inlineStr">
        <is>
          <t>eng</t>
        </is>
      </c>
      <c r="P153" t="inlineStr">
        <is>
          <t>ilu</t>
        </is>
      </c>
      <c r="R153" t="inlineStr">
        <is>
          <t xml:space="preserve">QV </t>
        </is>
      </c>
      <c r="S153" t="n">
        <v>5</v>
      </c>
      <c r="T153" t="n">
        <v>5</v>
      </c>
      <c r="U153" t="inlineStr">
        <is>
          <t>1999-09-28</t>
        </is>
      </c>
      <c r="V153" t="inlineStr">
        <is>
          <t>1999-09-28</t>
        </is>
      </c>
      <c r="W153" t="inlineStr">
        <is>
          <t>1998-01-27</t>
        </is>
      </c>
      <c r="X153" t="inlineStr">
        <is>
          <t>1998-01-27</t>
        </is>
      </c>
      <c r="Y153" t="n">
        <v>82</v>
      </c>
      <c r="Z153" t="n">
        <v>61</v>
      </c>
      <c r="AA153" t="n">
        <v>64</v>
      </c>
      <c r="AB153" t="n">
        <v>1</v>
      </c>
      <c r="AC153" t="n">
        <v>1</v>
      </c>
      <c r="AD153" t="n">
        <v>2</v>
      </c>
      <c r="AE153" t="n">
        <v>2</v>
      </c>
      <c r="AF153" t="n">
        <v>1</v>
      </c>
      <c r="AG153" t="n">
        <v>1</v>
      </c>
      <c r="AH153" t="n">
        <v>0</v>
      </c>
      <c r="AI153" t="n">
        <v>0</v>
      </c>
      <c r="AJ153" t="n">
        <v>1</v>
      </c>
      <c r="AK153" t="n">
        <v>1</v>
      </c>
      <c r="AL153" t="n">
        <v>0</v>
      </c>
      <c r="AM153" t="n">
        <v>0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HYPERLINK("http://catalog.hathitrust.org/Record/002905361","HathiTrust Record")</f>
        <v/>
      </c>
      <c r="AS153">
        <f>HYPERLINK("https://creighton-primo.hosted.exlibrisgroup.com/primo-explore/search?tab=default_tab&amp;search_scope=EVERYTHING&amp;vid=01CRU&amp;lang=en_US&amp;offset=0&amp;query=any,contains,991001283619702656","Catalog Record")</f>
        <v/>
      </c>
      <c r="AT153">
        <f>HYPERLINK("http://www.worldcat.org/oclc/29358612","WorldCat Record")</f>
        <v/>
      </c>
    </row>
    <row r="154">
      <c r="A154" t="inlineStr">
        <is>
          <t>No</t>
        </is>
      </c>
      <c r="B154" t="inlineStr">
        <is>
          <t>QV 18 A928d 1987</t>
        </is>
      </c>
      <c r="C154" t="inlineStr">
        <is>
          <t>0                      QV 0018000A  928d        1987</t>
        </is>
      </c>
      <c r="D154" t="inlineStr">
        <is>
          <t>Dosage calculation : method and workbook / Ann Aurigemma, Barbara J. Bohny.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Yes</t>
        </is>
      </c>
      <c r="J154" t="inlineStr">
        <is>
          <t>0</t>
        </is>
      </c>
      <c r="K154" t="inlineStr">
        <is>
          <t>Aurigemma, Ann.</t>
        </is>
      </c>
      <c r="L154" t="inlineStr">
        <is>
          <t>New York : National League for Nursing, c1987.</t>
        </is>
      </c>
      <c r="M154" t="inlineStr">
        <is>
          <t>1987</t>
        </is>
      </c>
      <c r="N154" t="inlineStr">
        <is>
          <t>3rd ed.</t>
        </is>
      </c>
      <c r="O154" t="inlineStr">
        <is>
          <t>eng</t>
        </is>
      </c>
      <c r="P154" t="inlineStr">
        <is>
          <t>nyu</t>
        </is>
      </c>
      <c r="Q154" t="inlineStr">
        <is>
          <t>Pub. ; no. 20-2197.</t>
        </is>
      </c>
      <c r="R154" t="inlineStr">
        <is>
          <t xml:space="preserve">QV </t>
        </is>
      </c>
      <c r="S154" t="n">
        <v>6</v>
      </c>
      <c r="T154" t="n">
        <v>6</v>
      </c>
      <c r="U154" t="inlineStr">
        <is>
          <t>1997-10-15</t>
        </is>
      </c>
      <c r="V154" t="inlineStr">
        <is>
          <t>1997-10-15</t>
        </is>
      </c>
      <c r="W154" t="inlineStr">
        <is>
          <t>1993-02-19</t>
        </is>
      </c>
      <c r="X154" t="inlineStr">
        <is>
          <t>1993-02-19</t>
        </is>
      </c>
      <c r="Y154" t="n">
        <v>148</v>
      </c>
      <c r="Z154" t="n">
        <v>131</v>
      </c>
      <c r="AA154" t="n">
        <v>183</v>
      </c>
      <c r="AB154" t="n">
        <v>1</v>
      </c>
      <c r="AC154" t="n">
        <v>2</v>
      </c>
      <c r="AD154" t="n">
        <v>4</v>
      </c>
      <c r="AE154" t="n">
        <v>6</v>
      </c>
      <c r="AF154" t="n">
        <v>0</v>
      </c>
      <c r="AG154" t="n">
        <v>1</v>
      </c>
      <c r="AH154" t="n">
        <v>2</v>
      </c>
      <c r="AI154" t="n">
        <v>3</v>
      </c>
      <c r="AJ154" t="n">
        <v>2</v>
      </c>
      <c r="AK154" t="n">
        <v>3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HYPERLINK("http://catalog.hathitrust.org/Record/002494654","HathiTrust Record")</f>
        <v/>
      </c>
      <c r="AS154">
        <f>HYPERLINK("https://creighton-primo.hosted.exlibrisgroup.com/primo-explore/search?tab=default_tab&amp;search_scope=EVERYTHING&amp;vid=01CRU&amp;lang=en_US&amp;offset=0&amp;query=any,contains,991001233529702656","Catalog Record")</f>
        <v/>
      </c>
      <c r="AT154">
        <f>HYPERLINK("http://www.worldcat.org/oclc/17951997","WorldCat Record")</f>
        <v/>
      </c>
    </row>
    <row r="155">
      <c r="A155" t="inlineStr">
        <is>
          <t>No</t>
        </is>
      </c>
      <c r="B155" t="inlineStr">
        <is>
          <t>QV 18 B879b 1984</t>
        </is>
      </c>
      <c r="C155" t="inlineStr">
        <is>
          <t>0                      QV 0018000B  879b        1984</t>
        </is>
      </c>
      <c r="D155" t="inlineStr">
        <is>
          <t>Basic drug calculations / Meta Brown, Joyce L. Mulholland.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Seltzer, Meta Brown.</t>
        </is>
      </c>
      <c r="L155" t="inlineStr">
        <is>
          <t>St. Louis : Mosby, c1984.</t>
        </is>
      </c>
      <c r="M155" t="inlineStr">
        <is>
          <t>1984</t>
        </is>
      </c>
      <c r="N155" t="inlineStr">
        <is>
          <t>2nd ed.</t>
        </is>
      </c>
      <c r="O155" t="inlineStr">
        <is>
          <t>eng</t>
        </is>
      </c>
      <c r="P155" t="inlineStr">
        <is>
          <t>mou</t>
        </is>
      </c>
      <c r="R155" t="inlineStr">
        <is>
          <t xml:space="preserve">QV </t>
        </is>
      </c>
      <c r="S155" t="n">
        <v>8</v>
      </c>
      <c r="T155" t="n">
        <v>8</v>
      </c>
      <c r="U155" t="inlineStr">
        <is>
          <t>1992-12-21</t>
        </is>
      </c>
      <c r="V155" t="inlineStr">
        <is>
          <t>1992-12-21</t>
        </is>
      </c>
      <c r="W155" t="inlineStr">
        <is>
          <t>1988-01-27</t>
        </is>
      </c>
      <c r="X155" t="inlineStr">
        <is>
          <t>1988-01-27</t>
        </is>
      </c>
      <c r="Y155" t="n">
        <v>68</v>
      </c>
      <c r="Z155" t="n">
        <v>51</v>
      </c>
      <c r="AA155" t="n">
        <v>91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  <c r="AG155" t="n">
        <v>1</v>
      </c>
      <c r="AH155" t="n">
        <v>0</v>
      </c>
      <c r="AI155" t="n">
        <v>0</v>
      </c>
      <c r="AJ155" t="n">
        <v>1</v>
      </c>
      <c r="AK155" t="n">
        <v>1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HYPERLINK("https://creighton-primo.hosted.exlibrisgroup.com/primo-explore/search?tab=default_tab&amp;search_scope=EVERYTHING&amp;vid=01CRU&amp;lang=en_US&amp;offset=0&amp;query=any,contains,991000948769702656","Catalog Record")</f>
        <v/>
      </c>
      <c r="AT155">
        <f>HYPERLINK("http://www.worldcat.org/oclc/9830792","WorldCat Record")</f>
        <v/>
      </c>
    </row>
    <row r="156">
      <c r="A156" t="inlineStr">
        <is>
          <t>No</t>
        </is>
      </c>
      <c r="B156" t="inlineStr">
        <is>
          <t>QV 18 C796c 1989</t>
        </is>
      </c>
      <c r="C156" t="inlineStr">
        <is>
          <t>0                      QV 0018000C  796c        1989</t>
        </is>
      </c>
      <c r="D156" t="inlineStr">
        <is>
          <t>Clinical calculations for nurses : with basic mathematics review / Mary Jane Cordón.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Yes</t>
        </is>
      </c>
      <c r="J156" t="inlineStr">
        <is>
          <t>0</t>
        </is>
      </c>
      <c r="K156" t="inlineStr">
        <is>
          <t>Cordón, Mary Jane.</t>
        </is>
      </c>
      <c r="L156" t="inlineStr">
        <is>
          <t>East Norwalk, Conn. : Appleton &amp; Lange, c1989.</t>
        </is>
      </c>
      <c r="M156" t="inlineStr">
        <is>
          <t>1989</t>
        </is>
      </c>
      <c r="N156" t="inlineStr">
        <is>
          <t>2nd ed.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QV </t>
        </is>
      </c>
      <c r="S156" t="n">
        <v>13</v>
      </c>
      <c r="T156" t="n">
        <v>13</v>
      </c>
      <c r="U156" t="inlineStr">
        <is>
          <t>1993-10-15</t>
        </is>
      </c>
      <c r="V156" t="inlineStr">
        <is>
          <t>1993-10-15</t>
        </is>
      </c>
      <c r="W156" t="inlineStr">
        <is>
          <t>1989-11-21</t>
        </is>
      </c>
      <c r="X156" t="inlineStr">
        <is>
          <t>1989-11-21</t>
        </is>
      </c>
      <c r="Y156" t="n">
        <v>133</v>
      </c>
      <c r="Z156" t="n">
        <v>108</v>
      </c>
      <c r="AA156" t="n">
        <v>336</v>
      </c>
      <c r="AB156" t="n">
        <v>1</v>
      </c>
      <c r="AC156" t="n">
        <v>1</v>
      </c>
      <c r="AD156" t="n">
        <v>1</v>
      </c>
      <c r="AE156" t="n">
        <v>9</v>
      </c>
      <c r="AF156" t="n">
        <v>0</v>
      </c>
      <c r="AG156" t="n">
        <v>4</v>
      </c>
      <c r="AH156" t="n">
        <v>0</v>
      </c>
      <c r="AI156" t="n">
        <v>1</v>
      </c>
      <c r="AJ156" t="n">
        <v>1</v>
      </c>
      <c r="AK156" t="n">
        <v>6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HYPERLINK("http://catalog.hathitrust.org/Record/002423973","HathiTrust Record")</f>
        <v/>
      </c>
      <c r="AS156">
        <f>HYPERLINK("https://creighton-primo.hosted.exlibrisgroup.com/primo-explore/search?tab=default_tab&amp;search_scope=EVERYTHING&amp;vid=01CRU&amp;lang=en_US&amp;offset=0&amp;query=any,contains,991001375009702656","Catalog Record")</f>
        <v/>
      </c>
      <c r="AT156">
        <f>HYPERLINK("http://www.worldcat.org/oclc/19722574","WorldCat Record")</f>
        <v/>
      </c>
    </row>
    <row r="157">
      <c r="A157" t="inlineStr">
        <is>
          <t>No</t>
        </is>
      </c>
      <c r="B157" t="inlineStr">
        <is>
          <t>QV 18 C976m 1984</t>
        </is>
      </c>
      <c r="C157" t="inlineStr">
        <is>
          <t>0                      QV 0018000C  976m        1984</t>
        </is>
      </c>
      <c r="D157" t="inlineStr">
        <is>
          <t>Math for meds : a programmed text / Anna M. Curren, Laurie D. Munday.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Yes</t>
        </is>
      </c>
      <c r="J157" t="inlineStr">
        <is>
          <t>0</t>
        </is>
      </c>
      <c r="K157" t="inlineStr">
        <is>
          <t>Curren, Anna M.</t>
        </is>
      </c>
      <c r="L157" t="inlineStr">
        <is>
          <t>San Diego, CA : Wallcur, c1984.</t>
        </is>
      </c>
      <c r="M157" t="inlineStr">
        <is>
          <t>1984</t>
        </is>
      </c>
      <c r="N157" t="inlineStr">
        <is>
          <t>4th ed.</t>
        </is>
      </c>
      <c r="O157" t="inlineStr">
        <is>
          <t>eng</t>
        </is>
      </c>
      <c r="P157" t="inlineStr">
        <is>
          <t>cau</t>
        </is>
      </c>
      <c r="R157" t="inlineStr">
        <is>
          <t xml:space="preserve">QV </t>
        </is>
      </c>
      <c r="S157" t="n">
        <v>2</v>
      </c>
      <c r="T157" t="n">
        <v>2</v>
      </c>
      <c r="U157" t="inlineStr">
        <is>
          <t>1991-08-29</t>
        </is>
      </c>
      <c r="V157" t="inlineStr">
        <is>
          <t>1991-08-29</t>
        </is>
      </c>
      <c r="W157" t="inlineStr">
        <is>
          <t>1988-01-27</t>
        </is>
      </c>
      <c r="X157" t="inlineStr">
        <is>
          <t>1988-01-27</t>
        </is>
      </c>
      <c r="Y157" t="n">
        <v>28</v>
      </c>
      <c r="Z157" t="n">
        <v>24</v>
      </c>
      <c r="AA157" t="n">
        <v>639</v>
      </c>
      <c r="AB157" t="n">
        <v>1</v>
      </c>
      <c r="AC157" t="n">
        <v>6</v>
      </c>
      <c r="AD157" t="n">
        <v>1</v>
      </c>
      <c r="AE157" t="n">
        <v>18</v>
      </c>
      <c r="AF157" t="n">
        <v>1</v>
      </c>
      <c r="AG157" t="n">
        <v>7</v>
      </c>
      <c r="AH157" t="n">
        <v>0</v>
      </c>
      <c r="AI157" t="n">
        <v>1</v>
      </c>
      <c r="AJ157" t="n">
        <v>1</v>
      </c>
      <c r="AK157" t="n">
        <v>9</v>
      </c>
      <c r="AL157" t="n">
        <v>0</v>
      </c>
      <c r="AM157" t="n">
        <v>3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HYPERLINK("https://creighton-primo.hosted.exlibrisgroup.com/primo-explore/search?tab=default_tab&amp;search_scope=EVERYTHING&amp;vid=01CRU&amp;lang=en_US&amp;offset=0&amp;query=any,contains,991000949169702656","Catalog Record")</f>
        <v/>
      </c>
      <c r="AT157">
        <f>HYPERLINK("http://www.worldcat.org/oclc/10494099","WorldCat Record")</f>
        <v/>
      </c>
    </row>
    <row r="158">
      <c r="A158" t="inlineStr">
        <is>
          <t>No</t>
        </is>
      </c>
      <c r="B158" t="inlineStr">
        <is>
          <t>QV 18 G378p 1991</t>
        </is>
      </c>
      <c r="C158" t="inlineStr">
        <is>
          <t>0                      QV 0018000G  378p        1991</t>
        </is>
      </c>
      <c r="D158" t="inlineStr">
        <is>
          <t>Pharmacy examination review : 1000 multiple choice questions and explanatory answers / Robert J. Gerraughty, Joan M. Lausier, and Michele A. Danish.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Gerraughty, Robert J., 1928-</t>
        </is>
      </c>
      <c r="L158" t="inlineStr">
        <is>
          <t>New York, N.Y. : Medical Examination Pub. Co., c1991.</t>
        </is>
      </c>
      <c r="M158" t="inlineStr">
        <is>
          <t>1991</t>
        </is>
      </c>
      <c r="N158" t="inlineStr">
        <is>
          <t>10th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QV </t>
        </is>
      </c>
      <c r="S158" t="n">
        <v>23</v>
      </c>
      <c r="T158" t="n">
        <v>23</v>
      </c>
      <c r="U158" t="inlineStr">
        <is>
          <t>2005-10-30</t>
        </is>
      </c>
      <c r="V158" t="inlineStr">
        <is>
          <t>2005-10-30</t>
        </is>
      </c>
      <c r="W158" t="inlineStr">
        <is>
          <t>1991-04-26</t>
        </is>
      </c>
      <c r="X158" t="inlineStr">
        <is>
          <t>1991-04-26</t>
        </is>
      </c>
      <c r="Y158" t="n">
        <v>45</v>
      </c>
      <c r="Z158" t="n">
        <v>33</v>
      </c>
      <c r="AA158" t="n">
        <v>67</v>
      </c>
      <c r="AB158" t="n">
        <v>1</v>
      </c>
      <c r="AC158" t="n">
        <v>1</v>
      </c>
      <c r="AD158" t="n">
        <v>0</v>
      </c>
      <c r="AE158" t="n">
        <v>2</v>
      </c>
      <c r="AF158" t="n">
        <v>0</v>
      </c>
      <c r="AG158" t="n">
        <v>1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HYPERLINK("https://creighton-primo.hosted.exlibrisgroup.com/primo-explore/search?tab=default_tab&amp;search_scope=EVERYTHING&amp;vid=01CRU&amp;lang=en_US&amp;offset=0&amp;query=any,contains,991000934439702656","Catalog Record")</f>
        <v/>
      </c>
      <c r="AT158">
        <f>HYPERLINK("http://www.worldcat.org/oclc/22837087","WorldCat Record")</f>
        <v/>
      </c>
    </row>
    <row r="159">
      <c r="A159" t="inlineStr">
        <is>
          <t>No</t>
        </is>
      </c>
      <c r="B159" t="inlineStr">
        <is>
          <t>QV 18 H176a 1993</t>
        </is>
      </c>
      <c r="C159" t="inlineStr">
        <is>
          <t>0                      QV 0018000H  176a        1993</t>
        </is>
      </c>
      <c r="D159" t="inlineStr">
        <is>
          <t>Appleton &amp; Lange's review of pharmacy.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Hall, Gary D.</t>
        </is>
      </c>
      <c r="L159" t="inlineStr">
        <is>
          <t>Norwalk, Conn. : Appleton &amp; Lange, c1993.</t>
        </is>
      </c>
      <c r="M159" t="inlineStr">
        <is>
          <t>1993</t>
        </is>
      </c>
      <c r="N159" t="inlineStr">
        <is>
          <t>5th ed. / Gary D. Hall, Barry S. Reiss.</t>
        </is>
      </c>
      <c r="O159" t="inlineStr">
        <is>
          <t>eng</t>
        </is>
      </c>
      <c r="P159" t="inlineStr">
        <is>
          <t>ctu</t>
        </is>
      </c>
      <c r="Q159" t="inlineStr">
        <is>
          <t>A &amp; L's review series</t>
        </is>
      </c>
      <c r="R159" t="inlineStr">
        <is>
          <t xml:space="preserve">QV </t>
        </is>
      </c>
      <c r="S159" t="n">
        <v>27</v>
      </c>
      <c r="T159" t="n">
        <v>27</v>
      </c>
      <c r="U159" t="inlineStr">
        <is>
          <t>2007-06-04</t>
        </is>
      </c>
      <c r="V159" t="inlineStr">
        <is>
          <t>2007-06-04</t>
        </is>
      </c>
      <c r="W159" t="inlineStr">
        <is>
          <t>1993-08-31</t>
        </is>
      </c>
      <c r="X159" t="inlineStr">
        <is>
          <t>1993-08-31</t>
        </is>
      </c>
      <c r="Y159" t="n">
        <v>55</v>
      </c>
      <c r="Z159" t="n">
        <v>32</v>
      </c>
      <c r="AA159" t="n">
        <v>135</v>
      </c>
      <c r="AB159" t="n">
        <v>1</v>
      </c>
      <c r="AC159" t="n">
        <v>3</v>
      </c>
      <c r="AD159" t="n">
        <v>0</v>
      </c>
      <c r="AE159" t="n">
        <v>6</v>
      </c>
      <c r="AF159" t="n">
        <v>0</v>
      </c>
      <c r="AG159" t="n">
        <v>2</v>
      </c>
      <c r="AH159" t="n">
        <v>0</v>
      </c>
      <c r="AI159" t="n">
        <v>0</v>
      </c>
      <c r="AJ159" t="n">
        <v>0</v>
      </c>
      <c r="AK159" t="n">
        <v>2</v>
      </c>
      <c r="AL159" t="n">
        <v>0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HYPERLINK("http://catalog.hathitrust.org/Record/002865173","HathiTrust Record")</f>
        <v/>
      </c>
      <c r="AS159">
        <f>HYPERLINK("https://creighton-primo.hosted.exlibrisgroup.com/primo-explore/search?tab=default_tab&amp;search_scope=EVERYTHING&amp;vid=01CRU&amp;lang=en_US&amp;offset=0&amp;query=any,contains,991001511509702656","Catalog Record")</f>
        <v/>
      </c>
      <c r="AT159">
        <f>HYPERLINK("http://www.worldcat.org/oclc/27311184","WorldCat Record")</f>
        <v/>
      </c>
    </row>
    <row r="160">
      <c r="A160" t="inlineStr">
        <is>
          <t>No</t>
        </is>
      </c>
      <c r="B160" t="inlineStr">
        <is>
          <t>QV 18 N277c 1989</t>
        </is>
      </c>
      <c r="C160" t="inlineStr">
        <is>
          <t>0                      QV 0018000N  277c        1989</t>
        </is>
      </c>
      <c r="D160" t="inlineStr">
        <is>
          <t>A candidate's review guide to the National Association of Boards of Pharmacy Licensure Examination.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National Association of Boards of Pharmacy.</t>
        </is>
      </c>
      <c r="L160" t="inlineStr">
        <is>
          <t>[Chicago] : National Association of Boards of Pharmacy, c1989.</t>
        </is>
      </c>
      <c r="M160" t="inlineStr">
        <is>
          <t>1989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QV </t>
        </is>
      </c>
      <c r="S160" t="n">
        <v>12</v>
      </c>
      <c r="T160" t="n">
        <v>12</v>
      </c>
      <c r="U160" t="inlineStr">
        <is>
          <t>1995-04-30</t>
        </is>
      </c>
      <c r="V160" t="inlineStr">
        <is>
          <t>1995-04-30</t>
        </is>
      </c>
      <c r="W160" t="inlineStr">
        <is>
          <t>1989-04-13</t>
        </is>
      </c>
      <c r="X160" t="inlineStr">
        <is>
          <t>1989-04-13</t>
        </is>
      </c>
      <c r="Y160" t="n">
        <v>1</v>
      </c>
      <c r="Z160" t="n">
        <v>1</v>
      </c>
      <c r="AA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HYPERLINK("https://creighton-primo.hosted.exlibrisgroup.com/primo-explore/search?tab=default_tab&amp;search_scope=EVERYTHING&amp;vid=01CRU&amp;lang=en_US&amp;offset=0&amp;query=any,contains,991001115529702656","Catalog Record")</f>
        <v/>
      </c>
      <c r="AT160">
        <f>HYPERLINK("http://www.worldcat.org/oclc/19482264","WorldCat Record")</f>
        <v/>
      </c>
    </row>
    <row r="161">
      <c r="A161" t="inlineStr">
        <is>
          <t>No</t>
        </is>
      </c>
      <c r="B161" t="inlineStr">
        <is>
          <t>QV18 N277C 1996-97</t>
        </is>
      </c>
      <c r="C161" t="inlineStr">
        <is>
          <t>0                      QV 0018000N  277C        1996                                        -97</t>
        </is>
      </c>
      <c r="D161" t="inlineStr">
        <is>
          <t>A candidate's guide for the National Association of Boards of Pharmacy licensure examination / NABPLEX Review Committee.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National Association of Boards of Pharmacy.</t>
        </is>
      </c>
      <c r="L161" t="inlineStr">
        <is>
          <t>Chicago : National Association of Boards of Pharmacy, c1995.</t>
        </is>
      </c>
      <c r="M161" t="inlineStr">
        <is>
          <t>1995</t>
        </is>
      </c>
      <c r="O161" t="inlineStr">
        <is>
          <t>eng</t>
        </is>
      </c>
      <c r="P161" t="inlineStr">
        <is>
          <t>ilu</t>
        </is>
      </c>
      <c r="R161" t="inlineStr">
        <is>
          <t xml:space="preserve">QV </t>
        </is>
      </c>
      <c r="S161" t="n">
        <v>2</v>
      </c>
      <c r="T161" t="n">
        <v>2</v>
      </c>
      <c r="U161" t="inlineStr">
        <is>
          <t>2006-09-15</t>
        </is>
      </c>
      <c r="V161" t="inlineStr">
        <is>
          <t>2006-09-15</t>
        </is>
      </c>
      <c r="W161" t="inlineStr">
        <is>
          <t>2002-11-19</t>
        </is>
      </c>
      <c r="X161" t="inlineStr">
        <is>
          <t>2002-11-19</t>
        </is>
      </c>
      <c r="Y161" t="n">
        <v>2</v>
      </c>
      <c r="Z161" t="n">
        <v>2</v>
      </c>
      <c r="AA161" t="n">
        <v>2</v>
      </c>
      <c r="AB161" t="n">
        <v>1</v>
      </c>
      <c r="AC161" t="n">
        <v>1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HYPERLINK("https://creighton-primo.hosted.exlibrisgroup.com/primo-explore/search?tab=default_tab&amp;search_scope=EVERYTHING&amp;vid=01CRU&amp;lang=en_US&amp;offset=0&amp;query=any,contains,991000332529702656","Catalog Record")</f>
        <v/>
      </c>
      <c r="AT161">
        <f>HYPERLINK("http://www.worldcat.org/oclc/35215031","WorldCat Record")</f>
        <v/>
      </c>
    </row>
    <row r="162">
      <c r="A162" t="inlineStr">
        <is>
          <t>No</t>
        </is>
      </c>
      <c r="B162" t="inlineStr">
        <is>
          <t>QV 18 N675c 1989</t>
        </is>
      </c>
      <c r="C162" t="inlineStr">
        <is>
          <t>0                      QV 0018000N  675c        1989</t>
        </is>
      </c>
      <c r="D162" t="inlineStr">
        <is>
          <t>Clinical problems in basic pharmacology / David W. Nierenberg, Roger P. Smith.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Nierenberg, David W.</t>
        </is>
      </c>
      <c r="L162" t="inlineStr">
        <is>
          <t>St. Louis : Mosby, c1989.</t>
        </is>
      </c>
      <c r="M162" t="inlineStr">
        <is>
          <t>1989</t>
        </is>
      </c>
      <c r="N162" t="inlineStr">
        <is>
          <t>1st ed.</t>
        </is>
      </c>
      <c r="O162" t="inlineStr">
        <is>
          <t>eng</t>
        </is>
      </c>
      <c r="P162" t="inlineStr">
        <is>
          <t>mou</t>
        </is>
      </c>
      <c r="R162" t="inlineStr">
        <is>
          <t xml:space="preserve">QV </t>
        </is>
      </c>
      <c r="S162" t="n">
        <v>26</v>
      </c>
      <c r="T162" t="n">
        <v>26</v>
      </c>
      <c r="U162" t="inlineStr">
        <is>
          <t>2001-09-14</t>
        </is>
      </c>
      <c r="V162" t="inlineStr">
        <is>
          <t>2001-09-14</t>
        </is>
      </c>
      <c r="W162" t="inlineStr">
        <is>
          <t>1988-12-28</t>
        </is>
      </c>
      <c r="X162" t="inlineStr">
        <is>
          <t>1988-12-28</t>
        </is>
      </c>
      <c r="Y162" t="n">
        <v>70</v>
      </c>
      <c r="Z162" t="n">
        <v>46</v>
      </c>
      <c r="AA162" t="n">
        <v>48</v>
      </c>
      <c r="AB162" t="n">
        <v>1</v>
      </c>
      <c r="AC162" t="n">
        <v>1</v>
      </c>
      <c r="AD162" t="n">
        <v>3</v>
      </c>
      <c r="AE162" t="n">
        <v>3</v>
      </c>
      <c r="AF162" t="n">
        <v>2</v>
      </c>
      <c r="AG162" t="n">
        <v>2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HYPERLINK("http://catalog.hathitrust.org/Record/002451490","HathiTrust Record")</f>
        <v/>
      </c>
      <c r="AS162">
        <f>HYPERLINK("https://creighton-primo.hosted.exlibrisgroup.com/primo-explore/search?tab=default_tab&amp;search_scope=EVERYTHING&amp;vid=01CRU&amp;lang=en_US&amp;offset=0&amp;query=any,contains,991001112799702656","Catalog Record")</f>
        <v/>
      </c>
      <c r="AT162">
        <f>HYPERLINK("http://www.worldcat.org/oclc/18136897","WorldCat Record")</f>
        <v/>
      </c>
    </row>
    <row r="163">
      <c r="A163" t="inlineStr">
        <is>
          <t>No</t>
        </is>
      </c>
      <c r="B163" t="inlineStr">
        <is>
          <t>QV 18 P252r 1977</t>
        </is>
      </c>
      <c r="C163" t="inlineStr">
        <is>
          <t>0                      QV 0018000P  252r        1977</t>
        </is>
      </c>
      <c r="D163" t="inlineStr">
        <is>
          <t>Review mathematics for nurses and health professionals : a text-workbook including dosages and solutions / Lucille M. Parks.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Parks, Lucille M.</t>
        </is>
      </c>
      <c r="L163" t="inlineStr">
        <is>
          <t>Menlo Park, Calif. : Cummings Pub. Co., c1977.</t>
        </is>
      </c>
      <c r="M163" t="inlineStr">
        <is>
          <t>1977</t>
        </is>
      </c>
      <c r="O163" t="inlineStr">
        <is>
          <t>eng</t>
        </is>
      </c>
      <c r="P163" t="inlineStr">
        <is>
          <t>cau</t>
        </is>
      </c>
      <c r="R163" t="inlineStr">
        <is>
          <t xml:space="preserve">QV </t>
        </is>
      </c>
      <c r="S163" t="n">
        <v>4</v>
      </c>
      <c r="T163" t="n">
        <v>4</v>
      </c>
      <c r="U163" t="inlineStr">
        <is>
          <t>1999-08-23</t>
        </is>
      </c>
      <c r="V163" t="inlineStr">
        <is>
          <t>1999-08-23</t>
        </is>
      </c>
      <c r="W163" t="inlineStr">
        <is>
          <t>1988-01-27</t>
        </is>
      </c>
      <c r="X163" t="inlineStr">
        <is>
          <t>1988-01-27</t>
        </is>
      </c>
      <c r="Y163" t="n">
        <v>41</v>
      </c>
      <c r="Z163" t="n">
        <v>34</v>
      </c>
      <c r="AA163" t="n">
        <v>40</v>
      </c>
      <c r="AB163" t="n">
        <v>1</v>
      </c>
      <c r="AC163" t="n">
        <v>1</v>
      </c>
      <c r="AD163" t="n">
        <v>1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HYPERLINK("http://catalog.hathitrust.org/Record/007050981","HathiTrust Record")</f>
        <v/>
      </c>
      <c r="AS163">
        <f>HYPERLINK("https://creighton-primo.hosted.exlibrisgroup.com/primo-explore/search?tab=default_tab&amp;search_scope=EVERYTHING&amp;vid=01CRU&amp;lang=en_US&amp;offset=0&amp;query=any,contains,991000949779702656","Catalog Record")</f>
        <v/>
      </c>
      <c r="AT163">
        <f>HYPERLINK("http://www.worldcat.org/oclc/3312385","WorldCat Record")</f>
        <v/>
      </c>
    </row>
    <row r="164">
      <c r="A164" t="inlineStr">
        <is>
          <t>No</t>
        </is>
      </c>
      <c r="B164" t="inlineStr">
        <is>
          <t>QV 18 P5365 1991</t>
        </is>
      </c>
      <c r="C164" t="inlineStr">
        <is>
          <t>0                      QV 0018000P  5365        1991</t>
        </is>
      </c>
      <c r="D164" t="inlineStr">
        <is>
          <t>Pharmacology : PreTest self-assessment and review.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York : McGraw-Hill Inc., Health Professions Division, PreTest Series, c1991.</t>
        </is>
      </c>
      <c r="M164" t="inlineStr">
        <is>
          <t>1991</t>
        </is>
      </c>
      <c r="N164" t="inlineStr">
        <is>
          <t>6th ed. / senior editor, Joseph R. DiPalma ; contributing editors, Edward J. Barbieri ... [et. al.].</t>
        </is>
      </c>
      <c r="O164" t="inlineStr">
        <is>
          <t>eng</t>
        </is>
      </c>
      <c r="P164" t="inlineStr">
        <is>
          <t>cou</t>
        </is>
      </c>
      <c r="R164" t="inlineStr">
        <is>
          <t xml:space="preserve">QV </t>
        </is>
      </c>
      <c r="S164" t="n">
        <v>47</v>
      </c>
      <c r="T164" t="n">
        <v>47</v>
      </c>
      <c r="U164" t="inlineStr">
        <is>
          <t>2005-04-20</t>
        </is>
      </c>
      <c r="V164" t="inlineStr">
        <is>
          <t>2005-04-20</t>
        </is>
      </c>
      <c r="W164" t="inlineStr">
        <is>
          <t>1991-02-19</t>
        </is>
      </c>
      <c r="X164" t="inlineStr">
        <is>
          <t>1991-02-19</t>
        </is>
      </c>
      <c r="Y164" t="n">
        <v>59</v>
      </c>
      <c r="Z164" t="n">
        <v>43</v>
      </c>
      <c r="AA164" t="n">
        <v>111</v>
      </c>
      <c r="AB164" t="n">
        <v>1</v>
      </c>
      <c r="AC164" t="n">
        <v>1</v>
      </c>
      <c r="AD164" t="n">
        <v>1</v>
      </c>
      <c r="AE164" t="n">
        <v>4</v>
      </c>
      <c r="AF164" t="n">
        <v>0</v>
      </c>
      <c r="AG164" t="n">
        <v>1</v>
      </c>
      <c r="AH164" t="n">
        <v>1</v>
      </c>
      <c r="AI164" t="n">
        <v>1</v>
      </c>
      <c r="AJ164" t="n">
        <v>0</v>
      </c>
      <c r="AK164" t="n">
        <v>3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HYPERLINK("https://creighton-primo.hosted.exlibrisgroup.com/primo-explore/search?tab=default_tab&amp;search_scope=EVERYTHING&amp;vid=01CRU&amp;lang=en_US&amp;offset=0&amp;query=any,contains,991000821159702656","Catalog Record")</f>
        <v/>
      </c>
      <c r="AT164">
        <f>HYPERLINK("http://www.worldcat.org/oclc/21078298","WorldCat Record")</f>
        <v/>
      </c>
    </row>
    <row r="165">
      <c r="A165" t="inlineStr">
        <is>
          <t>No</t>
        </is>
      </c>
      <c r="B165" t="inlineStr">
        <is>
          <t>QV 18 P5366 1991</t>
        </is>
      </c>
      <c r="C165" t="inlineStr">
        <is>
          <t>0                      QV 0018000P  5366        1991</t>
        </is>
      </c>
      <c r="D165" t="inlineStr">
        <is>
          <t>Pharmacy practice exam / editors, Alan H. Mutnick, Paul F. Souney ; associate editors, Louise Glassner Cohen ... [et al.].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Media, Pa. : Harwal Pub. Co., c1991.</t>
        </is>
      </c>
      <c r="M165" t="inlineStr">
        <is>
          <t>1991</t>
        </is>
      </c>
      <c r="O165" t="inlineStr">
        <is>
          <t>eng</t>
        </is>
      </c>
      <c r="P165" t="inlineStr">
        <is>
          <t>pau</t>
        </is>
      </c>
      <c r="R165" t="inlineStr">
        <is>
          <t xml:space="preserve">QV </t>
        </is>
      </c>
      <c r="S165" t="n">
        <v>29</v>
      </c>
      <c r="T165" t="n">
        <v>29</v>
      </c>
      <c r="U165" t="inlineStr">
        <is>
          <t>2006-09-15</t>
        </is>
      </c>
      <c r="V165" t="inlineStr">
        <is>
          <t>2006-09-15</t>
        </is>
      </c>
      <c r="W165" t="inlineStr">
        <is>
          <t>1992-09-21</t>
        </is>
      </c>
      <c r="X165" t="inlineStr">
        <is>
          <t>1992-09-21</t>
        </is>
      </c>
      <c r="Y165" t="n">
        <v>4</v>
      </c>
      <c r="Z165" t="n">
        <v>4</v>
      </c>
      <c r="AA165" t="n">
        <v>4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HYPERLINK("https://creighton-primo.hosted.exlibrisgroup.com/primo-explore/search?tab=default_tab&amp;search_scope=EVERYTHING&amp;vid=01CRU&amp;lang=en_US&amp;offset=0&amp;query=any,contains,991001344879702656","Catalog Record")</f>
        <v/>
      </c>
      <c r="AT165">
        <f>HYPERLINK("http://www.worldcat.org/oclc/24471202","WorldCat Record")</f>
        <v/>
      </c>
    </row>
    <row r="166">
      <c r="A166" t="inlineStr">
        <is>
          <t>No</t>
        </is>
      </c>
      <c r="B166" t="inlineStr">
        <is>
          <t>QV 18 P5375 1985</t>
        </is>
      </c>
      <c r="C166" t="inlineStr">
        <is>
          <t>0                      QV 0018000P  5375        1985</t>
        </is>
      </c>
      <c r="D166" t="inlineStr">
        <is>
          <t>Pharmacy review / Walter Singer ... [et al.].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Norwalk, Conn. : Appleton-Century-Crofts, c1985.</t>
        </is>
      </c>
      <c r="M166" t="inlineStr">
        <is>
          <t>1985</t>
        </is>
      </c>
      <c r="N166" t="inlineStr">
        <is>
          <t>3rd ed.</t>
        </is>
      </c>
      <c r="O166" t="inlineStr">
        <is>
          <t>eng</t>
        </is>
      </c>
      <c r="P166" t="inlineStr">
        <is>
          <t xml:space="preserve">aa </t>
        </is>
      </c>
      <c r="R166" t="inlineStr">
        <is>
          <t xml:space="preserve">QV </t>
        </is>
      </c>
      <c r="S166" t="n">
        <v>32</v>
      </c>
      <c r="T166" t="n">
        <v>32</v>
      </c>
      <c r="U166" t="inlineStr">
        <is>
          <t>2001-09-13</t>
        </is>
      </c>
      <c r="V166" t="inlineStr">
        <is>
          <t>2001-09-13</t>
        </is>
      </c>
      <c r="W166" t="inlineStr">
        <is>
          <t>1987-09-28</t>
        </is>
      </c>
      <c r="X166" t="inlineStr">
        <is>
          <t>1987-09-28</t>
        </is>
      </c>
      <c r="Y166" t="n">
        <v>41</v>
      </c>
      <c r="Z166" t="n">
        <v>34</v>
      </c>
      <c r="AA166" t="n">
        <v>95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HYPERLINK("https://creighton-primo.hosted.exlibrisgroup.com/primo-explore/search?tab=default_tab&amp;search_scope=EVERYTHING&amp;vid=01CRU&amp;lang=en_US&amp;offset=0&amp;query=any,contains,991000747439702656","Catalog Record")</f>
        <v/>
      </c>
      <c r="AT166">
        <f>HYPERLINK("http://www.worldcat.org/oclc/10949510","WorldCat Record")</f>
        <v/>
      </c>
    </row>
    <row r="167">
      <c r="A167" t="inlineStr">
        <is>
          <t>No</t>
        </is>
      </c>
      <c r="B167" t="inlineStr">
        <is>
          <t>QV 18 P53751 1988</t>
        </is>
      </c>
      <c r="C167" t="inlineStr">
        <is>
          <t>0                      QV 0018000P  53751       1988</t>
        </is>
      </c>
      <c r="D167" t="inlineStr">
        <is>
          <t>Pharmacy review / [edited by] Leon Shargel.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New York : Wiley ; Media, Pa. : Harwal Pub. Co., c1988.</t>
        </is>
      </c>
      <c r="M167" t="inlineStr">
        <is>
          <t>1988</t>
        </is>
      </c>
      <c r="O167" t="inlineStr">
        <is>
          <t>eng</t>
        </is>
      </c>
      <c r="P167" t="inlineStr">
        <is>
          <t>xxu</t>
        </is>
      </c>
      <c r="Q167" t="inlineStr">
        <is>
          <t>A Wiley medical publication</t>
        </is>
      </c>
      <c r="R167" t="inlineStr">
        <is>
          <t xml:space="preserve">QV </t>
        </is>
      </c>
      <c r="S167" t="n">
        <v>51</v>
      </c>
      <c r="T167" t="n">
        <v>51</v>
      </c>
      <c r="U167" t="inlineStr">
        <is>
          <t>2007-12-07</t>
        </is>
      </c>
      <c r="V167" t="inlineStr">
        <is>
          <t>2007-12-07</t>
        </is>
      </c>
      <c r="W167" t="inlineStr">
        <is>
          <t>1990-01-23</t>
        </is>
      </c>
      <c r="X167" t="inlineStr">
        <is>
          <t>1990-01-23</t>
        </is>
      </c>
      <c r="Y167" t="n">
        <v>45</v>
      </c>
      <c r="Z167" t="n">
        <v>32</v>
      </c>
      <c r="AA167" t="n">
        <v>35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  <c r="AG167" t="n">
        <v>1</v>
      </c>
      <c r="AH167" t="n">
        <v>0</v>
      </c>
      <c r="AI167" t="n">
        <v>0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HYPERLINK("http://catalog.hathitrust.org/Record/002053798","HathiTrust Record")</f>
        <v/>
      </c>
      <c r="AS167">
        <f>HYPERLINK("https://creighton-primo.hosted.exlibrisgroup.com/primo-explore/search?tab=default_tab&amp;search_scope=EVERYTHING&amp;vid=01CRU&amp;lang=en_US&amp;offset=0&amp;query=any,contains,991001386719702656","Catalog Record")</f>
        <v/>
      </c>
      <c r="AT167">
        <f>HYPERLINK("http://www.worldcat.org/oclc/18816916","WorldCat Record")</f>
        <v/>
      </c>
    </row>
    <row r="168">
      <c r="A168" t="inlineStr">
        <is>
          <t>No</t>
        </is>
      </c>
      <c r="B168" t="inlineStr">
        <is>
          <t>QV 18 R125 1995</t>
        </is>
      </c>
      <c r="C168" t="inlineStr">
        <is>
          <t>0                      QV 0018000R  125         1995</t>
        </is>
      </c>
      <c r="D168" t="inlineStr">
        <is>
          <t>Radcliff and Ogden's calculation of drug dosages : an interactive workbook / Sheila J. Ogden ; contributor, Angela G. Opsahl.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Ogden, Sheila J., 1949-</t>
        </is>
      </c>
      <c r="L168" t="inlineStr">
        <is>
          <t>St. Louis, Mo. : Mosby-Year Book, c1995.</t>
        </is>
      </c>
      <c r="M168" t="inlineStr">
        <is>
          <t>1995</t>
        </is>
      </c>
      <c r="N168" t="inlineStr">
        <is>
          <t>5th ed.</t>
        </is>
      </c>
      <c r="O168" t="inlineStr">
        <is>
          <t>eng</t>
        </is>
      </c>
      <c r="P168" t="inlineStr">
        <is>
          <t>mou</t>
        </is>
      </c>
      <c r="R168" t="inlineStr">
        <is>
          <t xml:space="preserve">QV </t>
        </is>
      </c>
      <c r="S168" t="n">
        <v>17</v>
      </c>
      <c r="T168" t="n">
        <v>17</v>
      </c>
      <c r="U168" t="inlineStr">
        <is>
          <t>2006-11-27</t>
        </is>
      </c>
      <c r="V168" t="inlineStr">
        <is>
          <t>2006-11-27</t>
        </is>
      </c>
      <c r="W168" t="inlineStr">
        <is>
          <t>1995-05-11</t>
        </is>
      </c>
      <c r="X168" t="inlineStr">
        <is>
          <t>1995-05-11</t>
        </is>
      </c>
      <c r="Y168" t="n">
        <v>64</v>
      </c>
      <c r="Z168" t="n">
        <v>61</v>
      </c>
      <c r="AA168" t="n">
        <v>114</v>
      </c>
      <c r="AB168" t="n">
        <v>1</v>
      </c>
      <c r="AC168" t="n">
        <v>1</v>
      </c>
      <c r="AD168" t="n">
        <v>0</v>
      </c>
      <c r="AE168" t="n">
        <v>2</v>
      </c>
      <c r="AF168" t="n">
        <v>0</v>
      </c>
      <c r="AG168" t="n">
        <v>1</v>
      </c>
      <c r="AH168" t="n">
        <v>0</v>
      </c>
      <c r="AI168" t="n">
        <v>0</v>
      </c>
      <c r="AJ168" t="n">
        <v>0</v>
      </c>
      <c r="AK168" t="n">
        <v>1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HYPERLINK("https://creighton-primo.hosted.exlibrisgroup.com/primo-explore/search?tab=default_tab&amp;search_scope=EVERYTHING&amp;vid=01CRU&amp;lang=en_US&amp;offset=0&amp;query=any,contains,991001400249702656","Catalog Record")</f>
        <v/>
      </c>
      <c r="AT168">
        <f>HYPERLINK("http://www.worldcat.org/oclc/30974794","WorldCat Record")</f>
        <v/>
      </c>
    </row>
    <row r="169">
      <c r="A169" t="inlineStr">
        <is>
          <t>No</t>
        </is>
      </c>
      <c r="B169" t="inlineStr">
        <is>
          <t>QV 18 R125c 1991</t>
        </is>
      </c>
      <c r="C169" t="inlineStr">
        <is>
          <t>0                      QV 0018000R  125c        1991</t>
        </is>
      </c>
      <c r="D169" t="inlineStr">
        <is>
          <t>Calculation of drug dosages : a workbook / Ruth K. Radcliff, Sheila J. Ogden.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Radcliff, Ruth K., 1925-</t>
        </is>
      </c>
      <c r="L169" t="inlineStr">
        <is>
          <t>St. Louis : Mosby-Year Book Inc., c1991.</t>
        </is>
      </c>
      <c r="M169" t="inlineStr">
        <is>
          <t>1991</t>
        </is>
      </c>
      <c r="N169" t="inlineStr">
        <is>
          <t>4th ed.</t>
        </is>
      </c>
      <c r="O169" t="inlineStr">
        <is>
          <t>eng</t>
        </is>
      </c>
      <c r="P169" t="inlineStr">
        <is>
          <t>mou</t>
        </is>
      </c>
      <c r="R169" t="inlineStr">
        <is>
          <t xml:space="preserve">QV </t>
        </is>
      </c>
      <c r="S169" t="n">
        <v>9</v>
      </c>
      <c r="T169" t="n">
        <v>9</v>
      </c>
      <c r="U169" t="inlineStr">
        <is>
          <t>1999-08-23</t>
        </is>
      </c>
      <c r="V169" t="inlineStr">
        <is>
          <t>1999-08-23</t>
        </is>
      </c>
      <c r="W169" t="inlineStr">
        <is>
          <t>1991-07-26</t>
        </is>
      </c>
      <c r="X169" t="inlineStr">
        <is>
          <t>1991-07-26</t>
        </is>
      </c>
      <c r="Y169" t="n">
        <v>52</v>
      </c>
      <c r="Z169" t="n">
        <v>48</v>
      </c>
      <c r="AA169" t="n">
        <v>151</v>
      </c>
      <c r="AB169" t="n">
        <v>1</v>
      </c>
      <c r="AC169" t="n">
        <v>2</v>
      </c>
      <c r="AD169" t="n">
        <v>2</v>
      </c>
      <c r="AE169" t="n">
        <v>3</v>
      </c>
      <c r="AF169" t="n">
        <v>1</v>
      </c>
      <c r="AG169" t="n">
        <v>2</v>
      </c>
      <c r="AH169" t="n">
        <v>0</v>
      </c>
      <c r="AI169" t="n">
        <v>0</v>
      </c>
      <c r="AJ169" t="n">
        <v>1</v>
      </c>
      <c r="AK169" t="n">
        <v>2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HYPERLINK("https://creighton-primo.hosted.exlibrisgroup.com/primo-explore/search?tab=default_tab&amp;search_scope=EVERYTHING&amp;vid=01CRU&amp;lang=en_US&amp;offset=0&amp;query=any,contains,991000944189702656","Catalog Record")</f>
        <v/>
      </c>
      <c r="AT169">
        <f>HYPERLINK("http://www.worldcat.org/oclc/22840570","WorldCat Record")</f>
        <v/>
      </c>
    </row>
    <row r="170">
      <c r="A170" t="inlineStr">
        <is>
          <t>No</t>
        </is>
      </c>
      <c r="B170" t="inlineStr">
        <is>
          <t>QV 18 R5155m 1990</t>
        </is>
      </c>
      <c r="C170" t="inlineStr">
        <is>
          <t>0                      QV 0018000R  5155m       1990</t>
        </is>
      </c>
      <c r="D170" t="inlineStr">
        <is>
          <t>The mathematics of drugs and solutions with clinical applications / Judith Knight Richardson, Lloyd I. Richardson.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Richardson, Judith Knight.</t>
        </is>
      </c>
      <c r="L170" t="inlineStr">
        <is>
          <t>St. Louis : C.V. Mosby, c1990.</t>
        </is>
      </c>
      <c r="M170" t="inlineStr">
        <is>
          <t>1990</t>
        </is>
      </c>
      <c r="N170" t="inlineStr">
        <is>
          <t>4th ed.</t>
        </is>
      </c>
      <c r="O170" t="inlineStr">
        <is>
          <t>eng</t>
        </is>
      </c>
      <c r="P170" t="inlineStr">
        <is>
          <t>mou</t>
        </is>
      </c>
      <c r="R170" t="inlineStr">
        <is>
          <t xml:space="preserve">QV </t>
        </is>
      </c>
      <c r="S170" t="n">
        <v>6</v>
      </c>
      <c r="T170" t="n">
        <v>6</v>
      </c>
      <c r="U170" t="inlineStr">
        <is>
          <t>2006-09-15</t>
        </is>
      </c>
      <c r="V170" t="inlineStr">
        <is>
          <t>2006-09-15</t>
        </is>
      </c>
      <c r="W170" t="inlineStr">
        <is>
          <t>1990-08-17</t>
        </is>
      </c>
      <c r="X170" t="inlineStr">
        <is>
          <t>1990-08-17</t>
        </is>
      </c>
      <c r="Y170" t="n">
        <v>96</v>
      </c>
      <c r="Z170" t="n">
        <v>85</v>
      </c>
      <c r="AA170" t="n">
        <v>299</v>
      </c>
      <c r="AB170" t="n">
        <v>1</v>
      </c>
      <c r="AC170" t="n">
        <v>5</v>
      </c>
      <c r="AD170" t="n">
        <v>2</v>
      </c>
      <c r="AE170" t="n">
        <v>7</v>
      </c>
      <c r="AF170" t="n">
        <v>0</v>
      </c>
      <c r="AG170" t="n">
        <v>1</v>
      </c>
      <c r="AH170" t="n">
        <v>0</v>
      </c>
      <c r="AI170" t="n">
        <v>1</v>
      </c>
      <c r="AJ170" t="n">
        <v>2</v>
      </c>
      <c r="AK170" t="n">
        <v>5</v>
      </c>
      <c r="AL170" t="n">
        <v>0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HYPERLINK("http://catalog.hathitrust.org/Record/007066465","HathiTrust Record")</f>
        <v/>
      </c>
      <c r="AS170">
        <f>HYPERLINK("https://creighton-primo.hosted.exlibrisgroup.com/primo-explore/search?tab=default_tab&amp;search_scope=EVERYTHING&amp;vid=01CRU&amp;lang=en_US&amp;offset=0&amp;query=any,contains,991001453979702656","Catalog Record")</f>
        <v/>
      </c>
      <c r="AT170">
        <f>HYPERLINK("http://www.worldcat.org/oclc/20671643","WorldCat Record")</f>
        <v/>
      </c>
    </row>
    <row r="171">
      <c r="A171" t="inlineStr">
        <is>
          <t>No</t>
        </is>
      </c>
      <c r="B171" t="inlineStr">
        <is>
          <t>QV 18 S273m 1992</t>
        </is>
      </c>
      <c r="C171" t="inlineStr">
        <is>
          <t>0                      QV 0018000S  273m        1992</t>
        </is>
      </c>
      <c r="D171" t="inlineStr">
        <is>
          <t>Math &amp; meds for nurses : a programmed approach for calculations of drugs and solutions / Dolores F. Saxton, Norma Ercolano- O'Neill.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Yes</t>
        </is>
      </c>
      <c r="J171" t="inlineStr">
        <is>
          <t>0</t>
        </is>
      </c>
      <c r="K171" t="inlineStr">
        <is>
          <t>Saxton, Dolores F.</t>
        </is>
      </c>
      <c r="L171" t="inlineStr">
        <is>
          <t>St. Louis, MO : GW Manning, c1992.</t>
        </is>
      </c>
      <c r="M171" t="inlineStr">
        <is>
          <t>1992</t>
        </is>
      </c>
      <c r="N171" t="inlineStr">
        <is>
          <t>2nd ed.</t>
        </is>
      </c>
      <c r="O171" t="inlineStr">
        <is>
          <t>eng</t>
        </is>
      </c>
      <c r="P171" t="inlineStr">
        <is>
          <t>mou</t>
        </is>
      </c>
      <c r="R171" t="inlineStr">
        <is>
          <t xml:space="preserve">QV </t>
        </is>
      </c>
      <c r="S171" t="n">
        <v>3</v>
      </c>
      <c r="T171" t="n">
        <v>3</v>
      </c>
      <c r="U171" t="inlineStr">
        <is>
          <t>1993-10-26</t>
        </is>
      </c>
      <c r="V171" t="inlineStr">
        <is>
          <t>1993-10-26</t>
        </is>
      </c>
      <c r="W171" t="inlineStr">
        <is>
          <t>1993-09-02</t>
        </is>
      </c>
      <c r="X171" t="inlineStr">
        <is>
          <t>1993-09-02</t>
        </is>
      </c>
      <c r="Y171" t="n">
        <v>15</v>
      </c>
      <c r="Z171" t="n">
        <v>14</v>
      </c>
      <c r="AA171" t="n">
        <v>205</v>
      </c>
      <c r="AB171" t="n">
        <v>1</v>
      </c>
      <c r="AC171" t="n">
        <v>1</v>
      </c>
      <c r="AD171" t="n">
        <v>0</v>
      </c>
      <c r="AE171" t="n">
        <v>5</v>
      </c>
      <c r="AF171" t="n">
        <v>0</v>
      </c>
      <c r="AG171" t="n">
        <v>2</v>
      </c>
      <c r="AH171" t="n">
        <v>0</v>
      </c>
      <c r="AI171" t="n">
        <v>0</v>
      </c>
      <c r="AJ171" t="n">
        <v>0</v>
      </c>
      <c r="AK171" t="n">
        <v>3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HYPERLINK("https://creighton-primo.hosted.exlibrisgroup.com/primo-explore/search?tab=default_tab&amp;search_scope=EVERYTHING&amp;vid=01CRU&amp;lang=en_US&amp;offset=0&amp;query=any,contains,991001514239702656","Catalog Record")</f>
        <v/>
      </c>
      <c r="AT171">
        <f>HYPERLINK("http://www.worldcat.org/oclc/28034700","WorldCat Record")</f>
        <v/>
      </c>
    </row>
    <row r="172">
      <c r="A172" t="inlineStr">
        <is>
          <t>No</t>
        </is>
      </c>
      <c r="B172" t="inlineStr">
        <is>
          <t>QV 18 S428c 1982</t>
        </is>
      </c>
      <c r="C172" t="inlineStr">
        <is>
          <t>0                      QV 0018000S  428c        1982</t>
        </is>
      </c>
      <c r="D172" t="inlineStr">
        <is>
          <t>Calculations of medications : using the proportion : guided instruction in mathematics for nurses / Mary Ann Scott.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Krisman-Scott, Mary Ann.</t>
        </is>
      </c>
      <c r="L172" t="inlineStr">
        <is>
          <t>Norwalk, CT : Appleton-Century-Crofts, c1982.</t>
        </is>
      </c>
      <c r="M172" t="inlineStr">
        <is>
          <t>1982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QV </t>
        </is>
      </c>
      <c r="S172" t="n">
        <v>8</v>
      </c>
      <c r="T172" t="n">
        <v>8</v>
      </c>
      <c r="U172" t="inlineStr">
        <is>
          <t>1994-09-19</t>
        </is>
      </c>
      <c r="V172" t="inlineStr">
        <is>
          <t>1994-09-19</t>
        </is>
      </c>
      <c r="W172" t="inlineStr">
        <is>
          <t>1987-09-28</t>
        </is>
      </c>
      <c r="X172" t="inlineStr">
        <is>
          <t>1987-09-28</t>
        </is>
      </c>
      <c r="Y172" t="n">
        <v>72</v>
      </c>
      <c r="Z172" t="n">
        <v>57</v>
      </c>
      <c r="AA172" t="n">
        <v>151</v>
      </c>
      <c r="AB172" t="n">
        <v>2</v>
      </c>
      <c r="AC172" t="n">
        <v>2</v>
      </c>
      <c r="AD172" t="n">
        <v>0</v>
      </c>
      <c r="AE172" t="n">
        <v>2</v>
      </c>
      <c r="AF172" t="n">
        <v>0</v>
      </c>
      <c r="AG172" t="n">
        <v>1</v>
      </c>
      <c r="AH172" t="n">
        <v>0</v>
      </c>
      <c r="AI172" t="n">
        <v>1</v>
      </c>
      <c r="AJ172" t="n">
        <v>0</v>
      </c>
      <c r="AK172" t="n">
        <v>1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HYPERLINK("https://creighton-primo.hosted.exlibrisgroup.com/primo-explore/search?tab=default_tab&amp;search_scope=EVERYTHING&amp;vid=01CRU&amp;lang=en_US&amp;offset=0&amp;query=any,contains,991000747489702656","Catalog Record")</f>
        <v/>
      </c>
      <c r="AT172">
        <f>HYPERLINK("http://www.worldcat.org/oclc/7976904","WorldCat Record")</f>
        <v/>
      </c>
    </row>
    <row r="173">
      <c r="A173" t="inlineStr">
        <is>
          <t>No</t>
        </is>
      </c>
      <c r="B173" t="inlineStr">
        <is>
          <t>QV 18 S912 1988</t>
        </is>
      </c>
      <c r="C173" t="inlineStr">
        <is>
          <t>0                      QV 0018000S  912         1988</t>
        </is>
      </c>
      <c r="D173" t="inlineStr">
        <is>
          <t>Strauss's pharmacy law examination review / Steven Strauss.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Lancaster, Penn. : Technomic Publishing Co., c1988.</t>
        </is>
      </c>
      <c r="M173" t="inlineStr">
        <is>
          <t>1988</t>
        </is>
      </c>
      <c r="O173" t="inlineStr">
        <is>
          <t>eng</t>
        </is>
      </c>
      <c r="P173" t="inlineStr">
        <is>
          <t>pau</t>
        </is>
      </c>
      <c r="R173" t="inlineStr">
        <is>
          <t xml:space="preserve">QV </t>
        </is>
      </c>
      <c r="S173" t="n">
        <v>18</v>
      </c>
      <c r="T173" t="n">
        <v>18</v>
      </c>
      <c r="U173" t="inlineStr">
        <is>
          <t>2005-10-16</t>
        </is>
      </c>
      <c r="V173" t="inlineStr">
        <is>
          <t>2005-10-16</t>
        </is>
      </c>
      <c r="W173" t="inlineStr">
        <is>
          <t>1989-01-14</t>
        </is>
      </c>
      <c r="X173" t="inlineStr">
        <is>
          <t>1989-01-14</t>
        </is>
      </c>
      <c r="Y173" t="n">
        <v>19</v>
      </c>
      <c r="Z173" t="n">
        <v>18</v>
      </c>
      <c r="AA173" t="n">
        <v>32</v>
      </c>
      <c r="AB173" t="n">
        <v>1</v>
      </c>
      <c r="AC173" t="n">
        <v>1</v>
      </c>
      <c r="AD173" t="n">
        <v>2</v>
      </c>
      <c r="AE173" t="n">
        <v>2</v>
      </c>
      <c r="AF173" t="n">
        <v>1</v>
      </c>
      <c r="AG173" t="n">
        <v>1</v>
      </c>
      <c r="AH173" t="n">
        <v>1</v>
      </c>
      <c r="AI173" t="n">
        <v>1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HYPERLINK("https://creighton-primo.hosted.exlibrisgroup.com/primo-explore/search?tab=default_tab&amp;search_scope=EVERYTHING&amp;vid=01CRU&amp;lang=en_US&amp;offset=0&amp;query=any,contains,991001389909702656","Catalog Record")</f>
        <v/>
      </c>
      <c r="AT173">
        <f>HYPERLINK("http://www.worldcat.org/oclc/19020319","WorldCat Record")</f>
        <v/>
      </c>
    </row>
    <row r="174">
      <c r="A174" t="inlineStr">
        <is>
          <t>No</t>
        </is>
      </c>
      <c r="B174" t="inlineStr">
        <is>
          <t>QV 18 T188s 1981</t>
        </is>
      </c>
      <c r="C174" t="inlineStr">
        <is>
          <t>0                      QV 0018000T  188s        1981</t>
        </is>
      </c>
      <c r="D174" t="inlineStr">
        <is>
          <t>Student guide to the PCAT, pharmacy college admission test : comprehensive manual for self study and review / David M. Tarlow.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Tarlow, David M.</t>
        </is>
      </c>
      <c r="L174" t="inlineStr">
        <is>
          <t>St. Louis : Datar Pub. Co., c1981.</t>
        </is>
      </c>
      <c r="M174" t="inlineStr">
        <is>
          <t>1981</t>
        </is>
      </c>
      <c r="O174" t="inlineStr">
        <is>
          <t>eng</t>
        </is>
      </c>
      <c r="P174" t="inlineStr">
        <is>
          <t>mou</t>
        </is>
      </c>
      <c r="R174" t="inlineStr">
        <is>
          <t xml:space="preserve">QV </t>
        </is>
      </c>
      <c r="S174" t="n">
        <v>8</v>
      </c>
      <c r="T174" t="n">
        <v>8</v>
      </c>
      <c r="U174" t="inlineStr">
        <is>
          <t>2006-09-27</t>
        </is>
      </c>
      <c r="V174" t="inlineStr">
        <is>
          <t>2006-09-27</t>
        </is>
      </c>
      <c r="W174" t="inlineStr">
        <is>
          <t>1987-09-28</t>
        </is>
      </c>
      <c r="X174" t="inlineStr">
        <is>
          <t>1987-09-28</t>
        </is>
      </c>
      <c r="Y174" t="n">
        <v>5</v>
      </c>
      <c r="Z174" t="n">
        <v>5</v>
      </c>
      <c r="AA174" t="n">
        <v>15</v>
      </c>
      <c r="AB174" t="n">
        <v>1</v>
      </c>
      <c r="AC174" t="n">
        <v>1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HYPERLINK("https://creighton-primo.hosted.exlibrisgroup.com/primo-explore/search?tab=default_tab&amp;search_scope=EVERYTHING&amp;vid=01CRU&amp;lang=en_US&amp;offset=0&amp;query=any,contains,991001548289702656","Catalog Record")</f>
        <v/>
      </c>
      <c r="AT174">
        <f>HYPERLINK("http://www.worldcat.org/oclc/8081381","WorldCat Record")</f>
        <v/>
      </c>
    </row>
    <row r="175">
      <c r="A175" t="inlineStr">
        <is>
          <t>No</t>
        </is>
      </c>
      <c r="B175" t="inlineStr">
        <is>
          <t>QV18 T2535 1997</t>
        </is>
      </c>
      <c r="C175" t="inlineStr">
        <is>
          <t>0                      QV 0018000T  2535        1997</t>
        </is>
      </c>
      <c r="D175" t="inlineStr">
        <is>
          <t>Teaching and learning strategies in pharmacy ethics / Amy Marie Haddad, editor.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New York : Pharmaceutical Products Press, c1997.</t>
        </is>
      </c>
      <c r="M175" t="inlineStr">
        <is>
          <t>1997</t>
        </is>
      </c>
      <c r="N175" t="inlineStr">
        <is>
          <t>2nd ed.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QV </t>
        </is>
      </c>
      <c r="S175" t="n">
        <v>4</v>
      </c>
      <c r="T175" t="n">
        <v>4</v>
      </c>
      <c r="U175" t="inlineStr">
        <is>
          <t>2005-06-23</t>
        </is>
      </c>
      <c r="V175" t="inlineStr">
        <is>
          <t>2005-06-23</t>
        </is>
      </c>
      <c r="W175" t="inlineStr">
        <is>
          <t>1998-01-29</t>
        </is>
      </c>
      <c r="X175" t="inlineStr">
        <is>
          <t>1998-01-29</t>
        </is>
      </c>
      <c r="Y175" t="n">
        <v>51</v>
      </c>
      <c r="Z175" t="n">
        <v>35</v>
      </c>
      <c r="AA175" t="n">
        <v>38</v>
      </c>
      <c r="AB175" t="n">
        <v>1</v>
      </c>
      <c r="AC175" t="n">
        <v>1</v>
      </c>
      <c r="AD175" t="n">
        <v>2</v>
      </c>
      <c r="AE175" t="n">
        <v>2</v>
      </c>
      <c r="AF175" t="n">
        <v>1</v>
      </c>
      <c r="AG175" t="n">
        <v>1</v>
      </c>
      <c r="AH175" t="n">
        <v>1</v>
      </c>
      <c r="AI175" t="n">
        <v>1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HYPERLINK("http://catalog.hathitrust.org/Record/003968522","HathiTrust Record")</f>
        <v/>
      </c>
      <c r="AS175">
        <f>HYPERLINK("https://creighton-primo.hosted.exlibrisgroup.com/primo-explore/search?tab=default_tab&amp;search_scope=EVERYTHING&amp;vid=01CRU&amp;lang=en_US&amp;offset=0&amp;query=any,contains,991001294179702656","Catalog Record")</f>
        <v/>
      </c>
      <c r="AT175">
        <f>HYPERLINK("http://www.worldcat.org/oclc/37640422","WorldCat Record")</f>
        <v/>
      </c>
    </row>
    <row r="176">
      <c r="A176" t="inlineStr">
        <is>
          <t>No</t>
        </is>
      </c>
      <c r="B176" t="inlineStr">
        <is>
          <t>QV 18 W363p 1979</t>
        </is>
      </c>
      <c r="C176" t="inlineStr">
        <is>
          <t>0                      QV 0018000W  363p        1979</t>
        </is>
      </c>
      <c r="D176" t="inlineStr">
        <is>
          <t>Programmed mathematics of drugs and solutions / Mabel E. Weaver, Vera J. Koehler.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Weaver, Mabel E.</t>
        </is>
      </c>
      <c r="L176" t="inlineStr">
        <is>
          <t>Philadelphia : Lippincott, 1979.</t>
        </is>
      </c>
      <c r="M176" t="inlineStr">
        <is>
          <t>1979</t>
        </is>
      </c>
      <c r="O176" t="inlineStr">
        <is>
          <t>eng</t>
        </is>
      </c>
      <c r="P176" t="inlineStr">
        <is>
          <t xml:space="preserve">xx </t>
        </is>
      </c>
      <c r="R176" t="inlineStr">
        <is>
          <t xml:space="preserve">QV </t>
        </is>
      </c>
      <c r="S176" t="n">
        <v>6</v>
      </c>
      <c r="T176" t="n">
        <v>6</v>
      </c>
      <c r="U176" t="inlineStr">
        <is>
          <t>1994-09-17</t>
        </is>
      </c>
      <c r="V176" t="inlineStr">
        <is>
          <t>1994-09-17</t>
        </is>
      </c>
      <c r="W176" t="inlineStr">
        <is>
          <t>1987-09-28</t>
        </is>
      </c>
      <c r="X176" t="inlineStr">
        <is>
          <t>1987-09-28</t>
        </is>
      </c>
      <c r="Y176" t="n">
        <v>89</v>
      </c>
      <c r="Z176" t="n">
        <v>83</v>
      </c>
      <c r="AA176" t="n">
        <v>201</v>
      </c>
      <c r="AB176" t="n">
        <v>1</v>
      </c>
      <c r="AC176" t="n">
        <v>3</v>
      </c>
      <c r="AD176" t="n">
        <v>2</v>
      </c>
      <c r="AE176" t="n">
        <v>7</v>
      </c>
      <c r="AF176" t="n">
        <v>0</v>
      </c>
      <c r="AG176" t="n">
        <v>2</v>
      </c>
      <c r="AH176" t="n">
        <v>0</v>
      </c>
      <c r="AI176" t="n">
        <v>1</v>
      </c>
      <c r="AJ176" t="n">
        <v>2</v>
      </c>
      <c r="AK176" t="n">
        <v>5</v>
      </c>
      <c r="AL176" t="n">
        <v>0</v>
      </c>
      <c r="AM176" t="n">
        <v>1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HYPERLINK("https://creighton-primo.hosted.exlibrisgroup.com/primo-explore/search?tab=default_tab&amp;search_scope=EVERYTHING&amp;vid=01CRU&amp;lang=en_US&amp;offset=0&amp;query=any,contains,991001548319702656","Catalog Record")</f>
        <v/>
      </c>
      <c r="AT176">
        <f>HYPERLINK("http://www.worldcat.org/oclc/4775092","WorldCat Record")</f>
        <v/>
      </c>
    </row>
    <row r="177">
      <c r="A177" t="inlineStr">
        <is>
          <t>No</t>
        </is>
      </c>
      <c r="B177" t="inlineStr">
        <is>
          <t>QV 18 Z38p 1981</t>
        </is>
      </c>
      <c r="C177" t="inlineStr">
        <is>
          <t>0                      QV 0018000Z  38p         1981</t>
        </is>
      </c>
      <c r="D177" t="inlineStr">
        <is>
          <t>Pharmaceutical calculations / Joel L. Zatz.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Zatz, Joel L., 1935-</t>
        </is>
      </c>
      <c r="L177" t="inlineStr">
        <is>
          <t>New York : Wiley, 1981.</t>
        </is>
      </c>
      <c r="M177" t="inlineStr">
        <is>
          <t>1981</t>
        </is>
      </c>
      <c r="N177" t="inlineStr">
        <is>
          <t>2d ed.</t>
        </is>
      </c>
      <c r="O177" t="inlineStr">
        <is>
          <t>eng</t>
        </is>
      </c>
      <c r="P177" t="inlineStr">
        <is>
          <t>xxu</t>
        </is>
      </c>
      <c r="Q177" t="inlineStr">
        <is>
          <t>Wiley-Interscience publication</t>
        </is>
      </c>
      <c r="R177" t="inlineStr">
        <is>
          <t xml:space="preserve">QV </t>
        </is>
      </c>
      <c r="S177" t="n">
        <v>20</v>
      </c>
      <c r="T177" t="n">
        <v>20</v>
      </c>
      <c r="U177" t="inlineStr">
        <is>
          <t>2006-03-27</t>
        </is>
      </c>
      <c r="V177" t="inlineStr">
        <is>
          <t>2006-03-27</t>
        </is>
      </c>
      <c r="W177" t="inlineStr">
        <is>
          <t>1988-01-27</t>
        </is>
      </c>
      <c r="X177" t="inlineStr">
        <is>
          <t>1988-01-27</t>
        </is>
      </c>
      <c r="Y177" t="n">
        <v>40</v>
      </c>
      <c r="Z177" t="n">
        <v>19</v>
      </c>
      <c r="AA177" t="n">
        <v>230</v>
      </c>
      <c r="AB177" t="n">
        <v>1</v>
      </c>
      <c r="AC177" t="n">
        <v>2</v>
      </c>
      <c r="AD177" t="n">
        <v>0</v>
      </c>
      <c r="AE177" t="n">
        <v>7</v>
      </c>
      <c r="AF177" t="n">
        <v>0</v>
      </c>
      <c r="AG177" t="n">
        <v>5</v>
      </c>
      <c r="AH177" t="n">
        <v>0</v>
      </c>
      <c r="AI177" t="n">
        <v>2</v>
      </c>
      <c r="AJ177" t="n">
        <v>0</v>
      </c>
      <c r="AK177" t="n">
        <v>1</v>
      </c>
      <c r="AL177" t="n">
        <v>0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HYPERLINK("https://creighton-primo.hosted.exlibrisgroup.com/primo-explore/search?tab=default_tab&amp;search_scope=EVERYTHING&amp;vid=01CRU&amp;lang=en_US&amp;offset=0&amp;query=any,contains,991000950279702656","Catalog Record")</f>
        <v/>
      </c>
      <c r="AT177">
        <f>HYPERLINK("http://www.worldcat.org/oclc/6707181","WorldCat Record")</f>
        <v/>
      </c>
    </row>
    <row r="178">
      <c r="A178" t="inlineStr">
        <is>
          <t>No</t>
        </is>
      </c>
      <c r="B178" t="inlineStr">
        <is>
          <t>QV18.2 B879d 2004</t>
        </is>
      </c>
      <c r="C178" t="inlineStr">
        <is>
          <t>0                      QV 0018200B  879d        2004</t>
        </is>
      </c>
      <c r="D178" t="inlineStr">
        <is>
          <t>Drug calculations : process and problems for clinical practice / Meta Brown, Joyce M. Mulholland.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Seltzer, Meta Brown.</t>
        </is>
      </c>
      <c r="L178" t="inlineStr">
        <is>
          <t>St. Louis, Mo. : Mosby, 2003.</t>
        </is>
      </c>
      <c r="M178" t="inlineStr">
        <is>
          <t>2003</t>
        </is>
      </c>
      <c r="N178" t="inlineStr">
        <is>
          <t>7th ed.</t>
        </is>
      </c>
      <c r="O178" t="inlineStr">
        <is>
          <t>eng</t>
        </is>
      </c>
      <c r="P178" t="inlineStr">
        <is>
          <t>mou</t>
        </is>
      </c>
      <c r="R178" t="inlineStr">
        <is>
          <t xml:space="preserve">QV </t>
        </is>
      </c>
      <c r="S178" t="n">
        <v>14</v>
      </c>
      <c r="T178" t="n">
        <v>14</v>
      </c>
      <c r="U178" t="inlineStr">
        <is>
          <t>2009-01-18</t>
        </is>
      </c>
      <c r="V178" t="inlineStr">
        <is>
          <t>2009-01-18</t>
        </is>
      </c>
      <c r="W178" t="inlineStr">
        <is>
          <t>2004-10-25</t>
        </is>
      </c>
      <c r="X178" t="inlineStr">
        <is>
          <t>2004-10-25</t>
        </is>
      </c>
      <c r="Y178" t="n">
        <v>229</v>
      </c>
      <c r="Z178" t="n">
        <v>191</v>
      </c>
      <c r="AA178" t="n">
        <v>614</v>
      </c>
      <c r="AB178" t="n">
        <v>3</v>
      </c>
      <c r="AC178" t="n">
        <v>3</v>
      </c>
      <c r="AD178" t="n">
        <v>6</v>
      </c>
      <c r="AE178" t="n">
        <v>15</v>
      </c>
      <c r="AF178" t="n">
        <v>1</v>
      </c>
      <c r="AG178" t="n">
        <v>7</v>
      </c>
      <c r="AH178" t="n">
        <v>0</v>
      </c>
      <c r="AI178" t="n">
        <v>2</v>
      </c>
      <c r="AJ178" t="n">
        <v>3</v>
      </c>
      <c r="AK178" t="n">
        <v>6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HYPERLINK("http://catalog.hathitrust.org/Record/004350764","HathiTrust Record")</f>
        <v/>
      </c>
      <c r="AS178">
        <f>HYPERLINK("https://creighton-primo.hosted.exlibrisgroup.com/primo-explore/search?tab=default_tab&amp;search_scope=EVERYTHING&amp;vid=01CRU&amp;lang=en_US&amp;offset=0&amp;query=any,contains,991000404099702656","Catalog Record")</f>
        <v/>
      </c>
      <c r="AT178">
        <f>HYPERLINK("http://www.worldcat.org/oclc/54365391","WorldCat Record")</f>
        <v/>
      </c>
    </row>
    <row r="179">
      <c r="A179" t="inlineStr">
        <is>
          <t>No</t>
        </is>
      </c>
      <c r="B179" t="inlineStr">
        <is>
          <t>QV 18.2 B879d 2008</t>
        </is>
      </c>
      <c r="C179" t="inlineStr">
        <is>
          <t>0                      QV 0018200B  879d        2008</t>
        </is>
      </c>
      <c r="D179" t="inlineStr">
        <is>
          <t>Drug calculations : process and problems for clinical practice / Meta Brown, Joyce M. Mulholland.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Yes</t>
        </is>
      </c>
      <c r="J179" t="inlineStr">
        <is>
          <t>0</t>
        </is>
      </c>
      <c r="K179" t="inlineStr">
        <is>
          <t>Seltzer, Meta Brown.</t>
        </is>
      </c>
      <c r="L179" t="inlineStr">
        <is>
          <t>St. Louis, Mo. : Mosby/Elsevier, c2008.</t>
        </is>
      </c>
      <c r="M179" t="inlineStr">
        <is>
          <t>2008</t>
        </is>
      </c>
      <c r="N179" t="inlineStr">
        <is>
          <t>8th ed.</t>
        </is>
      </c>
      <c r="O179" t="inlineStr">
        <is>
          <t>eng</t>
        </is>
      </c>
      <c r="P179" t="inlineStr">
        <is>
          <t>mou</t>
        </is>
      </c>
      <c r="R179" t="inlineStr">
        <is>
          <t xml:space="preserve">QV </t>
        </is>
      </c>
      <c r="S179" t="n">
        <v>1</v>
      </c>
      <c r="T179" t="n">
        <v>1</v>
      </c>
      <c r="U179" t="inlineStr">
        <is>
          <t>2008-08-21</t>
        </is>
      </c>
      <c r="V179" t="inlineStr">
        <is>
          <t>2008-08-21</t>
        </is>
      </c>
      <c r="W179" t="inlineStr">
        <is>
          <t>2008-08-20</t>
        </is>
      </c>
      <c r="X179" t="inlineStr">
        <is>
          <t>2008-08-20</t>
        </is>
      </c>
      <c r="Y179" t="n">
        <v>229</v>
      </c>
      <c r="Z179" t="n">
        <v>192</v>
      </c>
      <c r="AA179" t="n">
        <v>614</v>
      </c>
      <c r="AB179" t="n">
        <v>1</v>
      </c>
      <c r="AC179" t="n">
        <v>3</v>
      </c>
      <c r="AD179" t="n">
        <v>5</v>
      </c>
      <c r="AE179" t="n">
        <v>15</v>
      </c>
      <c r="AF179" t="n">
        <v>2</v>
      </c>
      <c r="AG179" t="n">
        <v>7</v>
      </c>
      <c r="AH179" t="n">
        <v>1</v>
      </c>
      <c r="AI179" t="n">
        <v>2</v>
      </c>
      <c r="AJ179" t="n">
        <v>3</v>
      </c>
      <c r="AK179" t="n">
        <v>6</v>
      </c>
      <c r="AL179" t="n">
        <v>0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HYPERLINK("https://creighton-primo.hosted.exlibrisgroup.com/primo-explore/search?tab=default_tab&amp;search_scope=EVERYTHING&amp;vid=01CRU&amp;lang=en_US&amp;offset=0&amp;query=any,contains,991000910699702656","Catalog Record")</f>
        <v/>
      </c>
      <c r="AT179">
        <f>HYPERLINK("http://www.worldcat.org/oclc/154760414","WorldCat Record")</f>
        <v/>
      </c>
    </row>
    <row r="180">
      <c r="A180" t="inlineStr">
        <is>
          <t>No</t>
        </is>
      </c>
      <c r="B180" t="inlineStr">
        <is>
          <t>QV 18.2 C737 2001</t>
        </is>
      </c>
      <c r="C180" t="inlineStr">
        <is>
          <t>0                      QV 0018200C  737         2001</t>
        </is>
      </c>
      <c r="D180" t="inlineStr">
        <is>
          <t>Comprehensive pharmacy review / editors, Leon Shargel ... [et al.].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Baltimore ; London : Williams &amp; Wilkins, c2001.</t>
        </is>
      </c>
      <c r="M180" t="inlineStr">
        <is>
          <t>2001</t>
        </is>
      </c>
      <c r="N180" t="inlineStr">
        <is>
          <t>4th ed.</t>
        </is>
      </c>
      <c r="O180" t="inlineStr">
        <is>
          <t>eng</t>
        </is>
      </c>
      <c r="P180" t="inlineStr">
        <is>
          <t>enk</t>
        </is>
      </c>
      <c r="R180" t="inlineStr">
        <is>
          <t xml:space="preserve">QV </t>
        </is>
      </c>
      <c r="S180" t="n">
        <v>11</v>
      </c>
      <c r="T180" t="n">
        <v>11</v>
      </c>
      <c r="U180" t="inlineStr">
        <is>
          <t>2009-04-23</t>
        </is>
      </c>
      <c r="V180" t="inlineStr">
        <is>
          <t>2009-04-23</t>
        </is>
      </c>
      <c r="W180" t="inlineStr">
        <is>
          <t>2004-01-30</t>
        </is>
      </c>
      <c r="X180" t="inlineStr">
        <is>
          <t>2004-01-30</t>
        </is>
      </c>
      <c r="Y180" t="n">
        <v>88</v>
      </c>
      <c r="Z180" t="n">
        <v>48</v>
      </c>
      <c r="AA180" t="n">
        <v>48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HYPERLINK("https://creighton-primo.hosted.exlibrisgroup.com/primo-explore/search?tab=default_tab&amp;search_scope=EVERYTHING&amp;vid=01CRU&amp;lang=en_US&amp;offset=0&amp;query=any,contains,991000365209702656","Catalog Record")</f>
        <v/>
      </c>
      <c r="AT180">
        <f>HYPERLINK("http://www.worldcat.org/oclc/46496670","WorldCat Record")</f>
        <v/>
      </c>
    </row>
    <row r="181">
      <c r="A181" t="inlineStr">
        <is>
          <t>No</t>
        </is>
      </c>
      <c r="B181" t="inlineStr">
        <is>
          <t>QV 18.2 H176L 2007</t>
        </is>
      </c>
      <c r="C181" t="inlineStr">
        <is>
          <t>0                      QV 0018200H  176L        2007</t>
        </is>
      </c>
      <c r="D181" t="inlineStr">
        <is>
          <t>Lange Q &amp; A pharmacy / Gary D. Hall, Barry S. Reiss.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1</t>
        </is>
      </c>
      <c r="K181" t="inlineStr">
        <is>
          <t>Hall, Gary D.</t>
        </is>
      </c>
      <c r="L181" t="inlineStr">
        <is>
          <t>New York : McGraw-Hill, Medical, c2007.</t>
        </is>
      </c>
      <c r="M181" t="inlineStr">
        <is>
          <t>2007</t>
        </is>
      </c>
      <c r="N181" t="inlineStr">
        <is>
          <t>9th ed.</t>
        </is>
      </c>
      <c r="O181" t="inlineStr">
        <is>
          <t>eng</t>
        </is>
      </c>
      <c r="P181" t="inlineStr">
        <is>
          <t>nyu</t>
        </is>
      </c>
      <c r="Q181" t="inlineStr">
        <is>
          <t>Lange Q&amp;A</t>
        </is>
      </c>
      <c r="R181" t="inlineStr">
        <is>
          <t xml:space="preserve">QV </t>
        </is>
      </c>
      <c r="S181" t="n">
        <v>2</v>
      </c>
      <c r="T181" t="n">
        <v>2</v>
      </c>
      <c r="U181" t="inlineStr">
        <is>
          <t>2010-03-21</t>
        </is>
      </c>
      <c r="V181" t="inlineStr">
        <is>
          <t>2010-03-21</t>
        </is>
      </c>
      <c r="W181" t="inlineStr">
        <is>
          <t>2008-08-11</t>
        </is>
      </c>
      <c r="X181" t="inlineStr">
        <is>
          <t>2008-08-11</t>
        </is>
      </c>
      <c r="Y181" t="n">
        <v>89</v>
      </c>
      <c r="Z181" t="n">
        <v>55</v>
      </c>
      <c r="AA181" t="n">
        <v>118</v>
      </c>
      <c r="AB181" t="n">
        <v>1</v>
      </c>
      <c r="AC181" t="n">
        <v>2</v>
      </c>
      <c r="AD181" t="n">
        <v>2</v>
      </c>
      <c r="AE181" t="n">
        <v>4</v>
      </c>
      <c r="AF181" t="n">
        <v>2</v>
      </c>
      <c r="AG181" t="n">
        <v>2</v>
      </c>
      <c r="AH181" t="n">
        <v>0</v>
      </c>
      <c r="AI181" t="n">
        <v>1</v>
      </c>
      <c r="AJ181" t="n">
        <v>1</v>
      </c>
      <c r="AK181" t="n">
        <v>1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HYPERLINK("https://creighton-primo.hosted.exlibrisgroup.com/primo-explore/search?tab=default_tab&amp;search_scope=EVERYTHING&amp;vid=01CRU&amp;lang=en_US&amp;offset=0&amp;query=any,contains,991000907159702656","Catalog Record")</f>
        <v/>
      </c>
      <c r="AT181">
        <f>HYPERLINK("http://www.worldcat.org/oclc/73994383","WorldCat Record")</f>
        <v/>
      </c>
    </row>
    <row r="182">
      <c r="A182" t="inlineStr">
        <is>
          <t>No</t>
        </is>
      </c>
      <c r="B182" t="inlineStr">
        <is>
          <t>QV 18.2 M478 2009</t>
        </is>
      </c>
      <c r="C182" t="inlineStr">
        <is>
          <t>0                      QV 0018200M  478         2009</t>
        </is>
      </c>
      <c r="D182" t="inlineStr">
        <is>
          <t>McGraw-Hill's PCAT : pharmacy college admission test / George J. Hademenos ... [et al.].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New York : McGraw-Hill, c2009.</t>
        </is>
      </c>
      <c r="M182" t="inlineStr">
        <is>
          <t>2009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QV </t>
        </is>
      </c>
      <c r="S182" t="n">
        <v>2</v>
      </c>
      <c r="T182" t="n">
        <v>2</v>
      </c>
      <c r="U182" t="inlineStr">
        <is>
          <t>2010-10-07</t>
        </is>
      </c>
      <c r="V182" t="inlineStr">
        <is>
          <t>2010-10-07</t>
        </is>
      </c>
      <c r="W182" t="inlineStr">
        <is>
          <t>2010-01-07</t>
        </is>
      </c>
      <c r="X182" t="inlineStr">
        <is>
          <t>2010-01-07</t>
        </is>
      </c>
      <c r="Y182" t="n">
        <v>99</v>
      </c>
      <c r="Z182" t="n">
        <v>90</v>
      </c>
      <c r="AA182" t="n">
        <v>584</v>
      </c>
      <c r="AB182" t="n">
        <v>1</v>
      </c>
      <c r="AC182" t="n">
        <v>21</v>
      </c>
      <c r="AD182" t="n">
        <v>1</v>
      </c>
      <c r="AE182" t="n">
        <v>14</v>
      </c>
      <c r="AF182" t="n">
        <v>1</v>
      </c>
      <c r="AG182" t="n">
        <v>4</v>
      </c>
      <c r="AH182" t="n">
        <v>0</v>
      </c>
      <c r="AI182" t="n">
        <v>2</v>
      </c>
      <c r="AJ182" t="n">
        <v>0</v>
      </c>
      <c r="AK182" t="n">
        <v>0</v>
      </c>
      <c r="AL182" t="n">
        <v>0</v>
      </c>
      <c r="AM182" t="n">
        <v>9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HYPERLINK("https://creighton-primo.hosted.exlibrisgroup.com/primo-explore/search?tab=default_tab&amp;search_scope=EVERYTHING&amp;vid=01CRU&amp;lang=en_US&amp;offset=0&amp;query=any,contains,991001554389702656","Catalog Record")</f>
        <v/>
      </c>
      <c r="AT182">
        <f>HYPERLINK("http://www.worldcat.org/oclc/226279657","WorldCat Record")</f>
        <v/>
      </c>
    </row>
    <row r="183">
      <c r="A183" t="inlineStr">
        <is>
          <t>No</t>
        </is>
      </c>
      <c r="B183" t="inlineStr">
        <is>
          <t>QV 18.2 P536 2002</t>
        </is>
      </c>
      <c r="C183" t="inlineStr">
        <is>
          <t>0                      QV 0018200P  536         2002</t>
        </is>
      </c>
      <c r="D183" t="inlineStr">
        <is>
          <t>Pharmacology : PreTest self-assessment and review / Arnold Stern ; student reviewers, Christopher A. Heck, Junda C. Woo.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New York : McGraw-Hill, Medical Pub. Division, c2002.</t>
        </is>
      </c>
      <c r="M183" t="inlineStr">
        <is>
          <t>2002</t>
        </is>
      </c>
      <c r="N183" t="inlineStr">
        <is>
          <t>10th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QV </t>
        </is>
      </c>
      <c r="S183" t="n">
        <v>1</v>
      </c>
      <c r="T183" t="n">
        <v>1</v>
      </c>
      <c r="U183" t="inlineStr">
        <is>
          <t>2002-10-16</t>
        </is>
      </c>
      <c r="V183" t="inlineStr">
        <is>
          <t>2002-10-16</t>
        </is>
      </c>
      <c r="W183" t="inlineStr">
        <is>
          <t>2002-10-09</t>
        </is>
      </c>
      <c r="X183" t="inlineStr">
        <is>
          <t>2002-10-09</t>
        </is>
      </c>
      <c r="Y183" t="n">
        <v>83</v>
      </c>
      <c r="Z183" t="n">
        <v>52</v>
      </c>
      <c r="AA183" t="n">
        <v>1124</v>
      </c>
      <c r="AB183" t="n">
        <v>1</v>
      </c>
      <c r="AC183" t="n">
        <v>27</v>
      </c>
      <c r="AD183" t="n">
        <v>2</v>
      </c>
      <c r="AE183" t="n">
        <v>33</v>
      </c>
      <c r="AF183" t="n">
        <v>0</v>
      </c>
      <c r="AG183" t="n">
        <v>9</v>
      </c>
      <c r="AH183" t="n">
        <v>2</v>
      </c>
      <c r="AI183" t="n">
        <v>8</v>
      </c>
      <c r="AJ183" t="n">
        <v>1</v>
      </c>
      <c r="AK183" t="n">
        <v>11</v>
      </c>
      <c r="AL183" t="n">
        <v>0</v>
      </c>
      <c r="AM183" t="n">
        <v>12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HYPERLINK("https://creighton-primo.hosted.exlibrisgroup.com/primo-explore/search?tab=default_tab&amp;search_scope=EVERYTHING&amp;vid=01CRU&amp;lang=en_US&amp;offset=0&amp;query=any,contains,991000330449702656","Catalog Record")</f>
        <v/>
      </c>
      <c r="AT183">
        <f>HYPERLINK("http://www.worldcat.org/oclc/46970649","WorldCat Record")</f>
        <v/>
      </c>
    </row>
    <row r="184">
      <c r="A184" t="inlineStr">
        <is>
          <t>No</t>
        </is>
      </c>
      <c r="B184" t="inlineStr">
        <is>
          <t>QV18.2 P542 2001</t>
        </is>
      </c>
      <c r="C184" t="inlineStr">
        <is>
          <t>0                      QV 0018200P  542         2001</t>
        </is>
      </c>
      <c r="D184" t="inlineStr">
        <is>
          <t>Pharmacy review : pearls of wisdom / [edited by] Francisco Talavera, Eric Scholar.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Lincoln, Neb. : Boston Medical Pub. Corp., 2001.</t>
        </is>
      </c>
      <c r="M184" t="inlineStr">
        <is>
          <t>2001</t>
        </is>
      </c>
      <c r="O184" t="inlineStr">
        <is>
          <t>eng</t>
        </is>
      </c>
      <c r="P184" t="inlineStr">
        <is>
          <t>nbu</t>
        </is>
      </c>
      <c r="R184" t="inlineStr">
        <is>
          <t xml:space="preserve">QV </t>
        </is>
      </c>
      <c r="S184" t="n">
        <v>23</v>
      </c>
      <c r="T184" t="n">
        <v>23</v>
      </c>
      <c r="U184" t="inlineStr">
        <is>
          <t>2008-04-27</t>
        </is>
      </c>
      <c r="V184" t="inlineStr">
        <is>
          <t>2008-04-27</t>
        </is>
      </c>
      <c r="W184" t="inlineStr">
        <is>
          <t>2001-11-13</t>
        </is>
      </c>
      <c r="X184" t="inlineStr">
        <is>
          <t>2001-11-13</t>
        </is>
      </c>
      <c r="Y184" t="n">
        <v>27</v>
      </c>
      <c r="Z184" t="n">
        <v>23</v>
      </c>
      <c r="AA184" t="n">
        <v>25</v>
      </c>
      <c r="AB184" t="n">
        <v>2</v>
      </c>
      <c r="AC184" t="n">
        <v>2</v>
      </c>
      <c r="AD184" t="n">
        <v>1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1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HYPERLINK("http://catalog.hathitrust.org/Record/004238173","HathiTrust Record")</f>
        <v/>
      </c>
      <c r="AS184">
        <f>HYPERLINK("https://creighton-primo.hosted.exlibrisgroup.com/primo-explore/search?tab=default_tab&amp;search_scope=EVERYTHING&amp;vid=01CRU&amp;lang=en_US&amp;offset=0&amp;query=any,contains,991000293099702656","Catalog Record")</f>
        <v/>
      </c>
      <c r="AT184">
        <f>HYPERLINK("http://www.worldcat.org/oclc/48125059","WorldCat Record")</f>
        <v/>
      </c>
    </row>
    <row r="185">
      <c r="A185" t="inlineStr">
        <is>
          <t>No</t>
        </is>
      </c>
      <c r="B185" t="inlineStr">
        <is>
          <t>QV 18.2 R496p 1999</t>
        </is>
      </c>
      <c r="C185" t="inlineStr">
        <is>
          <t>0                      QV 0018200R  496p        1999</t>
        </is>
      </c>
      <c r="D185" t="inlineStr">
        <is>
          <t>Principles of pharmacology for medical assisting / Jane Rice.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Rice, Jane.</t>
        </is>
      </c>
      <c r="L185" t="inlineStr">
        <is>
          <t>Albany, N.Y.: Delmar, c1999.</t>
        </is>
      </c>
      <c r="M185" t="inlineStr">
        <is>
          <t>1999</t>
        </is>
      </c>
      <c r="N185" t="inlineStr">
        <is>
          <t>3rd ed.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QV </t>
        </is>
      </c>
      <c r="S185" t="n">
        <v>6</v>
      </c>
      <c r="T185" t="n">
        <v>6</v>
      </c>
      <c r="U185" t="inlineStr">
        <is>
          <t>2006-04-30</t>
        </is>
      </c>
      <c r="V185" t="inlineStr">
        <is>
          <t>2006-04-30</t>
        </is>
      </c>
      <c r="W185" t="inlineStr">
        <is>
          <t>1999-01-07</t>
        </is>
      </c>
      <c r="X185" t="inlineStr">
        <is>
          <t>1999-01-07</t>
        </is>
      </c>
      <c r="Y185" t="n">
        <v>92</v>
      </c>
      <c r="Z185" t="n">
        <v>83</v>
      </c>
      <c r="AA185" t="n">
        <v>297</v>
      </c>
      <c r="AB185" t="n">
        <v>1</v>
      </c>
      <c r="AC185" t="n">
        <v>1</v>
      </c>
      <c r="AD185" t="n">
        <v>0</v>
      </c>
      <c r="AE185" t="n">
        <v>1</v>
      </c>
      <c r="AF185" t="n">
        <v>0</v>
      </c>
      <c r="AG185" t="n">
        <v>1</v>
      </c>
      <c r="AH185" t="n">
        <v>0</v>
      </c>
      <c r="AI185" t="n">
        <v>0</v>
      </c>
      <c r="AJ185" t="n">
        <v>0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HYPERLINK("https://creighton-primo.hosted.exlibrisgroup.com/primo-explore/search?tab=default_tab&amp;search_scope=EVERYTHING&amp;vid=01CRU&amp;lang=en_US&amp;offset=0&amp;query=any,contains,991001549129702656","Catalog Record")</f>
        <v/>
      </c>
      <c r="AT185">
        <f>HYPERLINK("http://www.worldcat.org/oclc/39202451","WorldCat Record")</f>
        <v/>
      </c>
    </row>
    <row r="186">
      <c r="A186" t="inlineStr">
        <is>
          <t>No</t>
        </is>
      </c>
      <c r="B186" t="inlineStr">
        <is>
          <t>QV 20.5 A392n 1991</t>
        </is>
      </c>
      <c r="C186" t="inlineStr">
        <is>
          <t>0                      QV 0020500A  392n        1991</t>
        </is>
      </c>
      <c r="D186" t="inlineStr">
        <is>
      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Alfred Benzon Symposium (33rd : 1991 : Copenhagen, Denmark)</t>
        </is>
      </c>
      <c r="L186" t="inlineStr">
        <is>
          <t>Copenhagen : Munksgaard, c1992.</t>
        </is>
      </c>
      <c r="M186" t="inlineStr">
        <is>
          <t>1992</t>
        </is>
      </c>
      <c r="O186" t="inlineStr">
        <is>
          <t>eng</t>
        </is>
      </c>
      <c r="P186" t="inlineStr">
        <is>
          <t xml:space="preserve">dk </t>
        </is>
      </c>
      <c r="R186" t="inlineStr">
        <is>
          <t xml:space="preserve">QV </t>
        </is>
      </c>
      <c r="S186" t="n">
        <v>2</v>
      </c>
      <c r="T186" t="n">
        <v>2</v>
      </c>
      <c r="U186" t="inlineStr">
        <is>
          <t>1993-09-02</t>
        </is>
      </c>
      <c r="V186" t="inlineStr">
        <is>
          <t>1993-09-02</t>
        </is>
      </c>
      <c r="W186" t="inlineStr">
        <is>
          <t>1993-08-31</t>
        </is>
      </c>
      <c r="X186" t="inlineStr">
        <is>
          <t>1993-08-31</t>
        </is>
      </c>
      <c r="Y186" t="n">
        <v>50</v>
      </c>
      <c r="Z186" t="n">
        <v>31</v>
      </c>
      <c r="AA186" t="n">
        <v>31</v>
      </c>
      <c r="AB186" t="n">
        <v>1</v>
      </c>
      <c r="AC186" t="n">
        <v>1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HYPERLINK("https://creighton-primo.hosted.exlibrisgroup.com/primo-explore/search?tab=default_tab&amp;search_scope=EVERYTHING&amp;vid=01CRU&amp;lang=en_US&amp;offset=0&amp;query=any,contains,991001511439702656","Catalog Record")</f>
        <v/>
      </c>
      <c r="AT186">
        <f>HYPERLINK("http://www.worldcat.org/oclc/26638181","WorldCat Record")</f>
        <v/>
      </c>
    </row>
    <row r="187">
      <c r="A187" t="inlineStr">
        <is>
          <t>No</t>
        </is>
      </c>
      <c r="B187" t="inlineStr">
        <is>
          <t>QV 20.5 B615 1975</t>
        </is>
      </c>
      <c r="C187" t="inlineStr">
        <is>
          <t>0                      QV 0020500B  615         1975</t>
        </is>
      </c>
      <c r="D187" t="inlineStr">
        <is>
          <t>Biomedical experimentation on prisoners : review of practices and problems and proposal of a new regulatory approach / by Albert R. Jonsen ... [et al.].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-- San Francisco, Cal. : School of Medicine, University of California, 1975.</t>
        </is>
      </c>
      <c r="M187" t="inlineStr">
        <is>
          <t>1975</t>
        </is>
      </c>
      <c r="O187" t="inlineStr">
        <is>
          <t>eng</t>
        </is>
      </c>
      <c r="P187" t="inlineStr">
        <is>
          <t>cau</t>
        </is>
      </c>
      <c r="Q187" t="inlineStr">
        <is>
          <t>Health Policy Program Discussion Paper, September 1975</t>
        </is>
      </c>
      <c r="R187" t="inlineStr">
        <is>
          <t xml:space="preserve">QV </t>
        </is>
      </c>
      <c r="S187" t="n">
        <v>4</v>
      </c>
      <c r="T187" t="n">
        <v>4</v>
      </c>
      <c r="U187" t="inlineStr">
        <is>
          <t>1991-12-17</t>
        </is>
      </c>
      <c r="V187" t="inlineStr">
        <is>
          <t>1991-12-17</t>
        </is>
      </c>
      <c r="W187" t="inlineStr">
        <is>
          <t>1988-01-27</t>
        </is>
      </c>
      <c r="X187" t="inlineStr">
        <is>
          <t>1988-01-27</t>
        </is>
      </c>
      <c r="Y187" t="n">
        <v>12</v>
      </c>
      <c r="Z187" t="n">
        <v>7</v>
      </c>
      <c r="AA187" t="n">
        <v>9</v>
      </c>
      <c r="AB187" t="n">
        <v>1</v>
      </c>
      <c r="AC187" t="n">
        <v>1</v>
      </c>
      <c r="AD187" t="n">
        <v>1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HYPERLINK("https://creighton-primo.hosted.exlibrisgroup.com/primo-explore/search?tab=default_tab&amp;search_scope=EVERYTHING&amp;vid=01CRU&amp;lang=en_US&amp;offset=0&amp;query=any,contains,991000950599702656","Catalog Record")</f>
        <v/>
      </c>
      <c r="AT187">
        <f>HYPERLINK("http://www.worldcat.org/oclc/5000869","WorldCat Record")</f>
        <v/>
      </c>
    </row>
    <row r="188">
      <c r="A188" t="inlineStr">
        <is>
          <t>No</t>
        </is>
      </c>
      <c r="B188" t="inlineStr">
        <is>
          <t>QV21 B496c 2002</t>
        </is>
      </c>
      <c r="C188" t="inlineStr">
        <is>
          <t>0                      QV 0021000B  496c        2002</t>
        </is>
      </c>
      <c r="D188" t="inlineStr">
        <is>
          <t>Communication skills for pharmacists : building relationships, improving patient care / Bruce A. Berger.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Yes</t>
        </is>
      </c>
      <c r="J188" t="inlineStr">
        <is>
          <t>0</t>
        </is>
      </c>
      <c r="K188" t="inlineStr">
        <is>
          <t>Berger, Bruce A.</t>
        </is>
      </c>
      <c r="L188" t="inlineStr">
        <is>
          <t>Washington, D.C. : American Pharmaceutical Association, c2002.</t>
        </is>
      </c>
      <c r="M188" t="inlineStr">
        <is>
          <t>2002</t>
        </is>
      </c>
      <c r="O188" t="inlineStr">
        <is>
          <t>eng</t>
        </is>
      </c>
      <c r="P188" t="inlineStr">
        <is>
          <t>dcu</t>
        </is>
      </c>
      <c r="R188" t="inlineStr">
        <is>
          <t xml:space="preserve">QV </t>
        </is>
      </c>
      <c r="S188" t="n">
        <v>22</v>
      </c>
      <c r="T188" t="n">
        <v>22</v>
      </c>
      <c r="U188" t="inlineStr">
        <is>
          <t>2005-10-30</t>
        </is>
      </c>
      <c r="V188" t="inlineStr">
        <is>
          <t>2005-10-30</t>
        </is>
      </c>
      <c r="W188" t="inlineStr">
        <is>
          <t>2003-05-22</t>
        </is>
      </c>
      <c r="X188" t="inlineStr">
        <is>
          <t>2003-05-22</t>
        </is>
      </c>
      <c r="Y188" t="n">
        <v>79</v>
      </c>
      <c r="Z188" t="n">
        <v>51</v>
      </c>
      <c r="AA188" t="n">
        <v>150</v>
      </c>
      <c r="AB188" t="n">
        <v>1</v>
      </c>
      <c r="AC188" t="n">
        <v>1</v>
      </c>
      <c r="AD188" t="n">
        <v>2</v>
      </c>
      <c r="AE188" t="n">
        <v>7</v>
      </c>
      <c r="AF188" t="n">
        <v>0</v>
      </c>
      <c r="AG188" t="n">
        <v>4</v>
      </c>
      <c r="AH188" t="n">
        <v>2</v>
      </c>
      <c r="AI188" t="n">
        <v>2</v>
      </c>
      <c r="AJ188" t="n">
        <v>0</v>
      </c>
      <c r="AK188" t="n">
        <v>2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HYPERLINK("http://catalog.hathitrust.org/Record/004316695","HathiTrust Record")</f>
        <v/>
      </c>
      <c r="AS188">
        <f>HYPERLINK("https://creighton-primo.hosted.exlibrisgroup.com/primo-explore/search?tab=default_tab&amp;search_scope=EVERYTHING&amp;vid=01CRU&amp;lang=en_US&amp;offset=0&amp;query=any,contains,991000347439702656","Catalog Record")</f>
        <v/>
      </c>
      <c r="AT188">
        <f>HYPERLINK("http://www.worldcat.org/oclc/50639318","WorldCat Record")</f>
        <v/>
      </c>
    </row>
    <row r="189">
      <c r="A189" t="inlineStr">
        <is>
          <t>No</t>
        </is>
      </c>
      <c r="B189" t="inlineStr">
        <is>
          <t>QV21 B496c 2005</t>
        </is>
      </c>
      <c r="C189" t="inlineStr">
        <is>
          <t>0                      QV 0021000B  496c        2005</t>
        </is>
      </c>
      <c r="D189" t="inlineStr">
        <is>
          <t>Communication skills for pharmacists : building relationships, improving patient care / Bruce A. Berger.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Yes</t>
        </is>
      </c>
      <c r="J189" t="inlineStr">
        <is>
          <t>0</t>
        </is>
      </c>
      <c r="K189" t="inlineStr">
        <is>
          <t>Berger, Bruce A.</t>
        </is>
      </c>
      <c r="L189" t="inlineStr">
        <is>
          <t>Washington, D.C. : American Pharmacists Association, 2005.</t>
        </is>
      </c>
      <c r="M189" t="inlineStr">
        <is>
          <t>2005</t>
        </is>
      </c>
      <c r="N189" t="inlineStr">
        <is>
          <t>2nd ed.</t>
        </is>
      </c>
      <c r="O189" t="inlineStr">
        <is>
          <t>eng</t>
        </is>
      </c>
      <c r="P189" t="inlineStr">
        <is>
          <t>dcu</t>
        </is>
      </c>
      <c r="R189" t="inlineStr">
        <is>
          <t xml:space="preserve">QV </t>
        </is>
      </c>
      <c r="S189" t="n">
        <v>37</v>
      </c>
      <c r="T189" t="n">
        <v>37</v>
      </c>
      <c r="U189" t="inlineStr">
        <is>
          <t>2008-11-12</t>
        </is>
      </c>
      <c r="V189" t="inlineStr">
        <is>
          <t>2008-11-12</t>
        </is>
      </c>
      <c r="W189" t="inlineStr">
        <is>
          <t>2006-08-22</t>
        </is>
      </c>
      <c r="X189" t="inlineStr">
        <is>
          <t>2006-08-22</t>
        </is>
      </c>
      <c r="Y189" t="n">
        <v>94</v>
      </c>
      <c r="Z189" t="n">
        <v>57</v>
      </c>
      <c r="AA189" t="n">
        <v>150</v>
      </c>
      <c r="AB189" t="n">
        <v>1</v>
      </c>
      <c r="AC189" t="n">
        <v>1</v>
      </c>
      <c r="AD189" t="n">
        <v>0</v>
      </c>
      <c r="AE189" t="n">
        <v>7</v>
      </c>
      <c r="AF189" t="n">
        <v>0</v>
      </c>
      <c r="AG189" t="n">
        <v>4</v>
      </c>
      <c r="AH189" t="n">
        <v>0</v>
      </c>
      <c r="AI189" t="n">
        <v>2</v>
      </c>
      <c r="AJ189" t="n">
        <v>0</v>
      </c>
      <c r="AK189" t="n">
        <v>2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HYPERLINK("http://catalog.hathitrust.org/Record/005088001","HathiTrust Record")</f>
        <v/>
      </c>
      <c r="AS189">
        <f>HYPERLINK("https://creighton-primo.hosted.exlibrisgroup.com/primo-explore/search?tab=default_tab&amp;search_scope=EVERYTHING&amp;vid=01CRU&amp;lang=en_US&amp;offset=0&amp;query=any,contains,991000529869702656","Catalog Record")</f>
        <v/>
      </c>
      <c r="AT189">
        <f>HYPERLINK("http://www.worldcat.org/oclc/57514962","WorldCat Record")</f>
        <v/>
      </c>
    </row>
    <row r="190">
      <c r="A190" t="inlineStr">
        <is>
          <t>No</t>
        </is>
      </c>
      <c r="B190" t="inlineStr">
        <is>
          <t>QV 21 B928e 1994</t>
        </is>
      </c>
      <c r="C190" t="inlineStr">
        <is>
          <t>0                      QV 0021000B  928e        1994</t>
        </is>
      </c>
      <c r="D190" t="inlineStr">
        <is>
          <t>Ethical responsibility in pharmacy practice / Robert A. Buerki, Louis D. Vottero.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Buerki, Robert A.</t>
        </is>
      </c>
      <c r="L190" t="inlineStr">
        <is>
          <t>Madison, Wis. : American Institute of the History of Pharmacy, c1994.</t>
        </is>
      </c>
      <c r="M190" t="inlineStr">
        <is>
          <t>1994</t>
        </is>
      </c>
      <c r="O190" t="inlineStr">
        <is>
          <t>eng</t>
        </is>
      </c>
      <c r="P190" t="inlineStr">
        <is>
          <t>wiu</t>
        </is>
      </c>
      <c r="R190" t="inlineStr">
        <is>
          <t xml:space="preserve">QV </t>
        </is>
      </c>
      <c r="S190" t="n">
        <v>19</v>
      </c>
      <c r="T190" t="n">
        <v>19</v>
      </c>
      <c r="U190" t="inlineStr">
        <is>
          <t>2005-10-11</t>
        </is>
      </c>
      <c r="V190" t="inlineStr">
        <is>
          <t>2005-10-11</t>
        </is>
      </c>
      <c r="W190" t="inlineStr">
        <is>
          <t>1995-08-09</t>
        </is>
      </c>
      <c r="X190" t="inlineStr">
        <is>
          <t>1995-08-09</t>
        </is>
      </c>
      <c r="Y190" t="n">
        <v>51</v>
      </c>
      <c r="Z190" t="n">
        <v>38</v>
      </c>
      <c r="AA190" t="n">
        <v>88</v>
      </c>
      <c r="AB190" t="n">
        <v>1</v>
      </c>
      <c r="AC190" t="n">
        <v>1</v>
      </c>
      <c r="AD190" t="n">
        <v>2</v>
      </c>
      <c r="AE190" t="n">
        <v>5</v>
      </c>
      <c r="AF190" t="n">
        <v>1</v>
      </c>
      <c r="AG190" t="n">
        <v>4</v>
      </c>
      <c r="AH190" t="n">
        <v>1</v>
      </c>
      <c r="AI190" t="n">
        <v>2</v>
      </c>
      <c r="AJ190" t="n">
        <v>0</v>
      </c>
      <c r="AK190" t="n">
        <v>1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HYPERLINK("http://catalog.hathitrust.org/Record/002985532","HathiTrust Record")</f>
        <v/>
      </c>
      <c r="AS190">
        <f>HYPERLINK("https://creighton-primo.hosted.exlibrisgroup.com/primo-explore/search?tab=default_tab&amp;search_scope=EVERYTHING&amp;vid=01CRU&amp;lang=en_US&amp;offset=0&amp;query=any,contains,991001403449702656","Catalog Record")</f>
        <v/>
      </c>
      <c r="AT190">
        <f>HYPERLINK("http://www.worldcat.org/oclc/31272352","WorldCat Record")</f>
        <v/>
      </c>
    </row>
    <row r="191">
      <c r="A191" t="inlineStr">
        <is>
          <t>No</t>
        </is>
      </c>
      <c r="B191" t="inlineStr">
        <is>
          <t>QV 21 B961o 1959</t>
        </is>
      </c>
      <c r="C191" t="inlineStr">
        <is>
          <t>0                      QV 0021000B  961o        1959</t>
        </is>
      </c>
      <c r="D191" t="inlineStr">
        <is>
          <t>Orientation to pharmacy / Henry M. Burlage, Charles O. Lee, L. Wait Rising.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Burlage, Henry M., 1897-1978.</t>
        </is>
      </c>
      <c r="L191" t="inlineStr">
        <is>
          <t>New York : McGraw-Hill, Blakiston Division, c1959.</t>
        </is>
      </c>
      <c r="M191" t="inlineStr">
        <is>
          <t>1959</t>
        </is>
      </c>
      <c r="O191" t="inlineStr">
        <is>
          <t>eng</t>
        </is>
      </c>
      <c r="P191" t="inlineStr">
        <is>
          <t xml:space="preserve">xx </t>
        </is>
      </c>
      <c r="R191" t="inlineStr">
        <is>
          <t xml:space="preserve">QV </t>
        </is>
      </c>
      <c r="S191" t="n">
        <v>2</v>
      </c>
      <c r="T191" t="n">
        <v>2</v>
      </c>
      <c r="U191" t="inlineStr">
        <is>
          <t>2003-01-28</t>
        </is>
      </c>
      <c r="V191" t="inlineStr">
        <is>
          <t>2003-01-28</t>
        </is>
      </c>
      <c r="W191" t="inlineStr">
        <is>
          <t>1988-01-18</t>
        </is>
      </c>
      <c r="X191" t="inlineStr">
        <is>
          <t>1988-01-18</t>
        </is>
      </c>
      <c r="Y191" t="n">
        <v>58</v>
      </c>
      <c r="Z191" t="n">
        <v>46</v>
      </c>
      <c r="AA191" t="n">
        <v>50</v>
      </c>
      <c r="AB191" t="n">
        <v>1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R191">
        <f>HYPERLINK("http://catalog.hathitrust.org/Record/002075340","HathiTrust Record")</f>
        <v/>
      </c>
      <c r="AS191">
        <f>HYPERLINK("https://creighton-primo.hosted.exlibrisgroup.com/primo-explore/search?tab=default_tab&amp;search_scope=EVERYTHING&amp;vid=01CRU&amp;lang=en_US&amp;offset=0&amp;query=any,contains,991000950639702656","Catalog Record")</f>
        <v/>
      </c>
      <c r="AT191">
        <f>HYPERLINK("http://www.worldcat.org/oclc/14618687","WorldCat Record")</f>
        <v/>
      </c>
    </row>
    <row r="192">
      <c r="A192" t="inlineStr">
        <is>
          <t>No</t>
        </is>
      </c>
      <c r="B192" t="inlineStr">
        <is>
          <t>QV 21.C437 1985</t>
        </is>
      </c>
      <c r="C192" t="inlineStr">
        <is>
          <t>0                      QV 0021000C  437         1985</t>
        </is>
      </c>
      <c r="D192" t="inlineStr">
        <is>
          <t>The Challenge of ethics in pharmacy practice : symposium / presented at a joint session of the American Institute of the History of Pharmacy and the APhA Academy of Pharmacy Practice ; Robert A. Buerki, chairman.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Madison, Wis. : American Institute of the History of Pharmacy, 1985.</t>
        </is>
      </c>
      <c r="M192" t="inlineStr">
        <is>
          <t>1985</t>
        </is>
      </c>
      <c r="O192" t="inlineStr">
        <is>
          <t>eng</t>
        </is>
      </c>
      <c r="P192" t="inlineStr">
        <is>
          <t>wiu</t>
        </is>
      </c>
      <c r="Q192" t="inlineStr">
        <is>
          <t>Publication ; no. 8 (new ser.)</t>
        </is>
      </c>
      <c r="R192" t="inlineStr">
        <is>
          <t xml:space="preserve">QV </t>
        </is>
      </c>
      <c r="S192" t="n">
        <v>40</v>
      </c>
      <c r="T192" t="n">
        <v>40</v>
      </c>
      <c r="U192" t="inlineStr">
        <is>
          <t>2004-02-04</t>
        </is>
      </c>
      <c r="V192" t="inlineStr">
        <is>
          <t>2004-02-04</t>
        </is>
      </c>
      <c r="W192" t="inlineStr">
        <is>
          <t>1987-09-28</t>
        </is>
      </c>
      <c r="X192" t="inlineStr">
        <is>
          <t>1987-09-28</t>
        </is>
      </c>
      <c r="Y192" t="n">
        <v>65</v>
      </c>
      <c r="Z192" t="n">
        <v>55</v>
      </c>
      <c r="AA192" t="n">
        <v>66</v>
      </c>
      <c r="AB192" t="n">
        <v>0</v>
      </c>
      <c r="AC192" t="n">
        <v>1</v>
      </c>
      <c r="AD192" t="n">
        <v>3</v>
      </c>
      <c r="AE192" t="n">
        <v>5</v>
      </c>
      <c r="AF192" t="n">
        <v>1</v>
      </c>
      <c r="AG192" t="n">
        <v>1</v>
      </c>
      <c r="AH192" t="n">
        <v>1</v>
      </c>
      <c r="AI192" t="n">
        <v>2</v>
      </c>
      <c r="AJ192" t="n">
        <v>0</v>
      </c>
      <c r="AK192" t="n">
        <v>0</v>
      </c>
      <c r="AL192" t="n">
        <v>0</v>
      </c>
      <c r="AM192" t="n">
        <v>1</v>
      </c>
      <c r="AN192" t="n">
        <v>1</v>
      </c>
      <c r="AO192" t="n">
        <v>1</v>
      </c>
      <c r="AP192" t="inlineStr">
        <is>
          <t>Yes</t>
        </is>
      </c>
      <c r="AQ192" t="inlineStr">
        <is>
          <t>Yes</t>
        </is>
      </c>
      <c r="AR192">
        <f>HYPERLINK("http://catalog.hathitrust.org/Record/000615517","HathiTrust Record")</f>
        <v/>
      </c>
      <c r="AS192">
        <f>HYPERLINK("https://creighton-primo.hosted.exlibrisgroup.com/primo-explore/search?tab=default_tab&amp;search_scope=EVERYTHING&amp;vid=01CRU&amp;lang=en_US&amp;offset=0&amp;query=any,contains,991000222339702656","Catalog Record")</f>
        <v/>
      </c>
      <c r="AT192">
        <f>HYPERLINK("http://www.worldcat.org/oclc/21483167","WorldCat Record")</f>
        <v/>
      </c>
    </row>
    <row r="193">
      <c r="A193" t="inlineStr">
        <is>
          <t>No</t>
        </is>
      </c>
      <c r="B193" t="inlineStr">
        <is>
          <t>QV21 C577p 2004</t>
        </is>
      </c>
      <c r="C193" t="inlineStr">
        <is>
          <t>0                      QV 0021000C  577p        2004</t>
        </is>
      </c>
      <c r="D193" t="inlineStr">
        <is>
          <t>Pharmaceutical care practice : the clinician's guide / Robert J. Cipolle, Linda M. Strand, Peter C. Morley.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1</t>
        </is>
      </c>
      <c r="K193" t="inlineStr">
        <is>
          <t>Cipolle, Robert J.</t>
        </is>
      </c>
      <c r="L193" t="inlineStr">
        <is>
          <t>New York : McGraw-Hill, Medical Pub. Division, c2004.</t>
        </is>
      </c>
      <c r="M193" t="inlineStr">
        <is>
          <t>2004</t>
        </is>
      </c>
      <c r="N193" t="inlineStr">
        <is>
          <t>2nd ed.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QV </t>
        </is>
      </c>
      <c r="S193" t="n">
        <v>1</v>
      </c>
      <c r="T193" t="n">
        <v>1</v>
      </c>
      <c r="U193" t="inlineStr">
        <is>
          <t>2006-08-31</t>
        </is>
      </c>
      <c r="V193" t="inlineStr">
        <is>
          <t>2006-08-31</t>
        </is>
      </c>
      <c r="W193" t="inlineStr">
        <is>
          <t>2004-11-16</t>
        </is>
      </c>
      <c r="X193" t="inlineStr">
        <is>
          <t>2004-11-16</t>
        </is>
      </c>
      <c r="Y193" t="n">
        <v>128</v>
      </c>
      <c r="Z193" t="n">
        <v>78</v>
      </c>
      <c r="AA193" t="n">
        <v>178</v>
      </c>
      <c r="AB193" t="n">
        <v>1</v>
      </c>
      <c r="AC193" t="n">
        <v>2</v>
      </c>
      <c r="AD193" t="n">
        <v>2</v>
      </c>
      <c r="AE193" t="n">
        <v>9</v>
      </c>
      <c r="AF193" t="n">
        <v>1</v>
      </c>
      <c r="AG193" t="n">
        <v>6</v>
      </c>
      <c r="AH193" t="n">
        <v>1</v>
      </c>
      <c r="AI193" t="n">
        <v>2</v>
      </c>
      <c r="AJ193" t="n">
        <v>0</v>
      </c>
      <c r="AK193" t="n">
        <v>2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HYPERLINK("http://catalog.hathitrust.org/Record/004735061","HathiTrust Record")</f>
        <v/>
      </c>
      <c r="AS193">
        <f>HYPERLINK("https://creighton-primo.hosted.exlibrisgroup.com/primo-explore/search?tab=default_tab&amp;search_scope=EVERYTHING&amp;vid=01CRU&amp;lang=en_US&amp;offset=0&amp;query=any,contains,991000411289702656","Catalog Record")</f>
        <v/>
      </c>
      <c r="AT193">
        <f>HYPERLINK("http://www.worldcat.org/oclc/53286287","WorldCat Record")</f>
        <v/>
      </c>
    </row>
    <row r="194">
      <c r="A194" t="inlineStr">
        <is>
          <t>No</t>
        </is>
      </c>
      <c r="B194" t="inlineStr">
        <is>
          <t>QV 21 C7345 1989</t>
        </is>
      </c>
      <c r="C194" t="inlineStr">
        <is>
          <t>0                      QV 0021000C  7345        1989</t>
        </is>
      </c>
      <c r="D194" t="inlineStr">
        <is>
          <t>Communication skills in pharmacy practice : a practical guide for students and practitioners / [edited by] William N. Tindall, Robert S. Beardsley, Carole L. Kimberlin.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L194" t="inlineStr">
        <is>
          <t>Philadelphia : Lea &amp; Febiger, c1989.</t>
        </is>
      </c>
      <c r="M194" t="inlineStr">
        <is>
          <t>1989</t>
        </is>
      </c>
      <c r="N194" t="inlineStr">
        <is>
          <t>2nd ed.</t>
        </is>
      </c>
      <c r="O194" t="inlineStr">
        <is>
          <t>eng</t>
        </is>
      </c>
      <c r="P194" t="inlineStr">
        <is>
          <t>xxu</t>
        </is>
      </c>
      <c r="R194" t="inlineStr">
        <is>
          <t xml:space="preserve">QV </t>
        </is>
      </c>
      <c r="S194" t="n">
        <v>22</v>
      </c>
      <c r="T194" t="n">
        <v>22</v>
      </c>
      <c r="U194" t="inlineStr">
        <is>
          <t>2004-02-04</t>
        </is>
      </c>
      <c r="V194" t="inlineStr">
        <is>
          <t>2004-02-04</t>
        </is>
      </c>
      <c r="W194" t="inlineStr">
        <is>
          <t>1989-07-29</t>
        </is>
      </c>
      <c r="X194" t="inlineStr">
        <is>
          <t>1989-07-29</t>
        </is>
      </c>
      <c r="Y194" t="n">
        <v>62</v>
      </c>
      <c r="Z194" t="n">
        <v>39</v>
      </c>
      <c r="AA194" t="n">
        <v>221</v>
      </c>
      <c r="AB194" t="n">
        <v>1</v>
      </c>
      <c r="AC194" t="n">
        <v>2</v>
      </c>
      <c r="AD194" t="n">
        <v>1</v>
      </c>
      <c r="AE194" t="n">
        <v>9</v>
      </c>
      <c r="AF194" t="n">
        <v>1</v>
      </c>
      <c r="AG194" t="n">
        <v>6</v>
      </c>
      <c r="AH194" t="n">
        <v>0</v>
      </c>
      <c r="AI194" t="n">
        <v>3</v>
      </c>
      <c r="AJ194" t="n">
        <v>0</v>
      </c>
      <c r="AK194" t="n">
        <v>1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HYPERLINK("http://catalog.hathitrust.org/Record/001817904","HathiTrust Record")</f>
        <v/>
      </c>
      <c r="AS194">
        <f>HYPERLINK("https://creighton-primo.hosted.exlibrisgroup.com/primo-explore/search?tab=default_tab&amp;search_scope=EVERYTHING&amp;vid=01CRU&amp;lang=en_US&amp;offset=0&amp;query=any,contains,991001312779702656","Catalog Record")</f>
        <v/>
      </c>
      <c r="AT194">
        <f>HYPERLINK("http://www.worldcat.org/oclc/19723746","WorldCat Record")</f>
        <v/>
      </c>
    </row>
    <row r="195">
      <c r="A195" t="inlineStr">
        <is>
          <t>No</t>
        </is>
      </c>
      <c r="B195" t="inlineStr">
        <is>
          <t>QV 21 C7348 1994</t>
        </is>
      </c>
      <c r="C195" t="inlineStr">
        <is>
          <t>0                      QV 0021000C  7348        1994</t>
        </is>
      </c>
      <c r="D195" t="inlineStr">
        <is>
          <t>Communication skills in pharmacy practice : a practical guide for students and practitioners / [edited by] William N. Tindall, Robert S. Beardsley, Carole L. Kimberlin.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L195" t="inlineStr">
        <is>
          <t>Philadelphia : Lea &amp; Febiger, c1994.</t>
        </is>
      </c>
      <c r="M195" t="inlineStr">
        <is>
          <t>1994</t>
        </is>
      </c>
      <c r="N195" t="inlineStr">
        <is>
          <t>3rd ed.</t>
        </is>
      </c>
      <c r="O195" t="inlineStr">
        <is>
          <t>eng</t>
        </is>
      </c>
      <c r="P195" t="inlineStr">
        <is>
          <t>pau</t>
        </is>
      </c>
      <c r="R195" t="inlineStr">
        <is>
          <t xml:space="preserve">QV </t>
        </is>
      </c>
      <c r="S195" t="n">
        <v>49</v>
      </c>
      <c r="T195" t="n">
        <v>49</v>
      </c>
      <c r="U195" t="inlineStr">
        <is>
          <t>2006-06-05</t>
        </is>
      </c>
      <c r="V195" t="inlineStr">
        <is>
          <t>2006-06-05</t>
        </is>
      </c>
      <c r="W195" t="inlineStr">
        <is>
          <t>1994-08-04</t>
        </is>
      </c>
      <c r="X195" t="inlineStr">
        <is>
          <t>1994-08-04</t>
        </is>
      </c>
      <c r="Y195" t="n">
        <v>66</v>
      </c>
      <c r="Z195" t="n">
        <v>44</v>
      </c>
      <c r="AA195" t="n">
        <v>221</v>
      </c>
      <c r="AB195" t="n">
        <v>1</v>
      </c>
      <c r="AC195" t="n">
        <v>2</v>
      </c>
      <c r="AD195" t="n">
        <v>2</v>
      </c>
      <c r="AE195" t="n">
        <v>9</v>
      </c>
      <c r="AF195" t="n">
        <v>1</v>
      </c>
      <c r="AG195" t="n">
        <v>6</v>
      </c>
      <c r="AH195" t="n">
        <v>1</v>
      </c>
      <c r="AI195" t="n">
        <v>3</v>
      </c>
      <c r="AJ195" t="n">
        <v>0</v>
      </c>
      <c r="AK195" t="n">
        <v>1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HYPERLINK("http://catalog.hathitrust.org/Record/002753628","HathiTrust Record")</f>
        <v/>
      </c>
      <c r="AS195">
        <f>HYPERLINK("https://creighton-primo.hosted.exlibrisgroup.com/primo-explore/search?tab=default_tab&amp;search_scope=EVERYTHING&amp;vid=01CRU&amp;lang=en_US&amp;offset=0&amp;query=any,contains,991000501689702656","Catalog Record")</f>
        <v/>
      </c>
      <c r="AT195">
        <f>HYPERLINK("http://www.worldcat.org/oclc/28673250","WorldCat Record")</f>
        <v/>
      </c>
    </row>
    <row r="196">
      <c r="A196" t="inlineStr">
        <is>
          <t>No</t>
        </is>
      </c>
      <c r="B196" t="inlineStr">
        <is>
          <t>QV 21 D413p 1959</t>
        </is>
      </c>
      <c r="C196" t="inlineStr">
        <is>
          <t>0                      QV 0021000D  413p        1959</t>
        </is>
      </c>
      <c r="D196" t="inlineStr">
        <is>
          <t>The profession of pharmacy : an introductory textbook / Richard A. Deno, Thomas D. Rowe, Donald C. Brodie.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Deno, Richard A. (Richard Anthony), 1906-</t>
        </is>
      </c>
      <c r="L196" t="inlineStr">
        <is>
          <t>Philadelphia : Lippincott, c1959.</t>
        </is>
      </c>
      <c r="M196" t="inlineStr">
        <is>
          <t>1959</t>
        </is>
      </c>
      <c r="O196" t="inlineStr">
        <is>
          <t>eng</t>
        </is>
      </c>
      <c r="P196" t="inlineStr">
        <is>
          <t>pau</t>
        </is>
      </c>
      <c r="R196" t="inlineStr">
        <is>
          <t xml:space="preserve">QV </t>
        </is>
      </c>
      <c r="S196" t="n">
        <v>5</v>
      </c>
      <c r="T196" t="n">
        <v>5</v>
      </c>
      <c r="U196" t="inlineStr">
        <is>
          <t>2003-01-28</t>
        </is>
      </c>
      <c r="V196" t="inlineStr">
        <is>
          <t>2003-01-28</t>
        </is>
      </c>
      <c r="W196" t="inlineStr">
        <is>
          <t>1988-01-18</t>
        </is>
      </c>
      <c r="X196" t="inlineStr">
        <is>
          <t>1988-01-18</t>
        </is>
      </c>
      <c r="Y196" t="n">
        <v>57</v>
      </c>
      <c r="Z196" t="n">
        <v>48</v>
      </c>
      <c r="AA196" t="n">
        <v>53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  <c r="AG196" t="n">
        <v>1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R196">
        <f>HYPERLINK("http://catalog.hathitrust.org/Record/001579365","HathiTrust Record")</f>
        <v/>
      </c>
      <c r="AS196">
        <f>HYPERLINK("https://creighton-primo.hosted.exlibrisgroup.com/primo-explore/search?tab=default_tab&amp;search_scope=EVERYTHING&amp;vid=01CRU&amp;lang=en_US&amp;offset=0&amp;query=any,contains,991000950869702656","Catalog Record")</f>
        <v/>
      </c>
      <c r="AT196">
        <f>HYPERLINK("http://www.worldcat.org/oclc/1457951","WorldCat Record")</f>
        <v/>
      </c>
    </row>
    <row r="197">
      <c r="A197" t="inlineStr">
        <is>
          <t>No</t>
        </is>
      </c>
      <c r="B197" t="inlineStr">
        <is>
          <t>QV 21 E84 1996</t>
        </is>
      </c>
      <c r="C197" t="inlineStr">
        <is>
          <t>0                      QV 0021000E  84          1996</t>
        </is>
      </c>
      <c r="D197" t="inlineStr">
        <is>
          <t>Ethical dimensions of pharmaceutical care / Amy Marie Haddad, Robert A. Buerki, editors.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New York : Pharmaceutical Products Press, c1996.</t>
        </is>
      </c>
      <c r="M197" t="inlineStr">
        <is>
          <t>1996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QV </t>
        </is>
      </c>
      <c r="S197" t="n">
        <v>16</v>
      </c>
      <c r="T197" t="n">
        <v>16</v>
      </c>
      <c r="U197" t="inlineStr">
        <is>
          <t>2002-07-08</t>
        </is>
      </c>
      <c r="V197" t="inlineStr">
        <is>
          <t>2002-07-08</t>
        </is>
      </c>
      <c r="W197" t="inlineStr">
        <is>
          <t>1998-01-16</t>
        </is>
      </c>
      <c r="X197" t="inlineStr">
        <is>
          <t>1998-01-16</t>
        </is>
      </c>
      <c r="Y197" t="n">
        <v>68</v>
      </c>
      <c r="Z197" t="n">
        <v>53</v>
      </c>
      <c r="AA197" t="n">
        <v>61</v>
      </c>
      <c r="AB197" t="n">
        <v>1</v>
      </c>
      <c r="AC197" t="n">
        <v>1</v>
      </c>
      <c r="AD197" t="n">
        <v>5</v>
      </c>
      <c r="AE197" t="n">
        <v>5</v>
      </c>
      <c r="AF197" t="n">
        <v>2</v>
      </c>
      <c r="AG197" t="n">
        <v>2</v>
      </c>
      <c r="AH197" t="n">
        <v>3</v>
      </c>
      <c r="AI197" t="n">
        <v>3</v>
      </c>
      <c r="AJ197" t="n">
        <v>2</v>
      </c>
      <c r="AK197" t="n">
        <v>2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HYPERLINK("http://catalog.hathitrust.org/Record/003120530","HathiTrust Record")</f>
        <v/>
      </c>
      <c r="AS197">
        <f>HYPERLINK("https://creighton-primo.hosted.exlibrisgroup.com/primo-explore/search?tab=default_tab&amp;search_scope=EVERYTHING&amp;vid=01CRU&amp;lang=en_US&amp;offset=0&amp;query=any,contains,991000503819702656","Catalog Record")</f>
        <v/>
      </c>
      <c r="AT197">
        <f>HYPERLINK("http://www.worldcat.org/oclc/34576828","WorldCat Record")</f>
        <v/>
      </c>
    </row>
    <row r="198">
      <c r="A198" t="inlineStr">
        <is>
          <t>No</t>
        </is>
      </c>
      <c r="B198" t="inlineStr">
        <is>
          <t>QV 21 G562 1998</t>
        </is>
      </c>
      <c r="C198" t="inlineStr">
        <is>
          <t>0                      QV 0021000G  562         1998</t>
        </is>
      </c>
      <c r="D198" t="inlineStr">
        <is>
          <t>Global visions of women pharmacists : speeches from an international forum / editors, Mary J. Berg, Marianne R. Rollings.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Richmond, VA : Leadership International Library, 1998.</t>
        </is>
      </c>
      <c r="M198" t="inlineStr">
        <is>
          <t>1998</t>
        </is>
      </c>
      <c r="N198" t="inlineStr">
        <is>
          <t>1st ed.</t>
        </is>
      </c>
      <c r="O198" t="inlineStr">
        <is>
          <t>eng</t>
        </is>
      </c>
      <c r="P198" t="inlineStr">
        <is>
          <t>vau</t>
        </is>
      </c>
      <c r="R198" t="inlineStr">
        <is>
          <t xml:space="preserve">QV </t>
        </is>
      </c>
      <c r="S198" t="n">
        <v>1</v>
      </c>
      <c r="T198" t="n">
        <v>1</v>
      </c>
      <c r="U198" t="inlineStr">
        <is>
          <t>2003-01-28</t>
        </is>
      </c>
      <c r="V198" t="inlineStr">
        <is>
          <t>2003-01-28</t>
        </is>
      </c>
      <c r="W198" t="inlineStr">
        <is>
          <t>2002-06-25</t>
        </is>
      </c>
      <c r="X198" t="inlineStr">
        <is>
          <t>2002-06-25</t>
        </is>
      </c>
      <c r="Y198" t="n">
        <v>24</v>
      </c>
      <c r="Z198" t="n">
        <v>21</v>
      </c>
      <c r="AA198" t="n">
        <v>21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HYPERLINK("https://creighton-primo.hosted.exlibrisgroup.com/primo-explore/search?tab=default_tab&amp;search_scope=EVERYTHING&amp;vid=01CRU&amp;lang=en_US&amp;offset=0&amp;query=any,contains,991000317879702656","Catalog Record")</f>
        <v/>
      </c>
      <c r="AT198">
        <f>HYPERLINK("http://www.worldcat.org/oclc/40535052","WorldCat Record")</f>
        <v/>
      </c>
    </row>
    <row r="199">
      <c r="A199" t="inlineStr">
        <is>
          <t>No</t>
        </is>
      </c>
      <c r="B199" t="inlineStr">
        <is>
          <t>QV 21 K67e 1973</t>
        </is>
      </c>
      <c r="C199" t="inlineStr">
        <is>
          <t>0                      QV 0021000K  67e         1973</t>
        </is>
      </c>
      <c r="D199" t="inlineStr">
        <is>
          <t>Evaluating pharmacists and their activities : a review of methods and findings / By David A. Knapp, Mickey C. Smith.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Knapp, David Allan.</t>
        </is>
      </c>
      <c r="L199" t="inlineStr">
        <is>
          <t>Washington : American Society of Hospital Pharmacists Research and Education Foundation, c1973.</t>
        </is>
      </c>
      <c r="M199" t="inlineStr">
        <is>
          <t>1973</t>
        </is>
      </c>
      <c r="O199" t="inlineStr">
        <is>
          <t>eng</t>
        </is>
      </c>
      <c r="P199" t="inlineStr">
        <is>
          <t xml:space="preserve">xx </t>
        </is>
      </c>
      <c r="R199" t="inlineStr">
        <is>
          <t xml:space="preserve">QV </t>
        </is>
      </c>
      <c r="S199" t="n">
        <v>3</v>
      </c>
      <c r="T199" t="n">
        <v>3</v>
      </c>
      <c r="U199" t="inlineStr">
        <is>
          <t>2000-06-02</t>
        </is>
      </c>
      <c r="V199" t="inlineStr">
        <is>
          <t>2000-06-02</t>
        </is>
      </c>
      <c r="W199" t="inlineStr">
        <is>
          <t>1988-01-20</t>
        </is>
      </c>
      <c r="X199" t="inlineStr">
        <is>
          <t>1988-01-20</t>
        </is>
      </c>
      <c r="Y199" t="n">
        <v>32</v>
      </c>
      <c r="Z199" t="n">
        <v>25</v>
      </c>
      <c r="AA199" t="n">
        <v>25</v>
      </c>
      <c r="AB199" t="n">
        <v>1</v>
      </c>
      <c r="AC199" t="n">
        <v>1</v>
      </c>
      <c r="AD199" t="n">
        <v>2</v>
      </c>
      <c r="AE199" t="n">
        <v>2</v>
      </c>
      <c r="AF199" t="n">
        <v>1</v>
      </c>
      <c r="AG199" t="n">
        <v>1</v>
      </c>
      <c r="AH199" t="n">
        <v>1</v>
      </c>
      <c r="AI199" t="n">
        <v>1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HYPERLINK("https://creighton-primo.hosted.exlibrisgroup.com/primo-explore/search?tab=default_tab&amp;search_scope=EVERYTHING&amp;vid=01CRU&amp;lang=en_US&amp;offset=0&amp;query=any,contains,991000490729702656","Catalog Record")</f>
        <v/>
      </c>
      <c r="AT199">
        <f>HYPERLINK("http://www.worldcat.org/oclc/690803","WorldCat Record")</f>
        <v/>
      </c>
    </row>
    <row r="200">
      <c r="A200" t="inlineStr">
        <is>
          <t>No</t>
        </is>
      </c>
      <c r="B200" t="inlineStr">
        <is>
          <t>QV 21 S412i 1951</t>
        </is>
      </c>
      <c r="C200" t="inlineStr">
        <is>
          <t>0                      QV 0021000S  412i        1951</t>
        </is>
      </c>
      <c r="D200" t="inlineStr">
        <is>
          <t>The interests of pharmacists.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Schwebel, Milton.</t>
        </is>
      </c>
      <c r="L200" t="inlineStr">
        <is>
          <t>New York : King's Crown Press, 1951.</t>
        </is>
      </c>
      <c r="M200" t="inlineStr">
        <is>
          <t>1951</t>
        </is>
      </c>
      <c r="O200" t="inlineStr">
        <is>
          <t>eng</t>
        </is>
      </c>
      <c r="P200" t="inlineStr">
        <is>
          <t xml:space="preserve">xx </t>
        </is>
      </c>
      <c r="R200" t="inlineStr">
        <is>
          <t xml:space="preserve">QV </t>
        </is>
      </c>
      <c r="S200" t="n">
        <v>3</v>
      </c>
      <c r="T200" t="n">
        <v>3</v>
      </c>
      <c r="U200" t="inlineStr">
        <is>
          <t>2000-06-02</t>
        </is>
      </c>
      <c r="V200" t="inlineStr">
        <is>
          <t>2000-06-02</t>
        </is>
      </c>
      <c r="W200" t="inlineStr">
        <is>
          <t>1988-01-18</t>
        </is>
      </c>
      <c r="X200" t="inlineStr">
        <is>
          <t>1988-01-18</t>
        </is>
      </c>
      <c r="Y200" t="n">
        <v>35</v>
      </c>
      <c r="Z200" t="n">
        <v>27</v>
      </c>
      <c r="AA200" t="n">
        <v>32</v>
      </c>
      <c r="AB200" t="n">
        <v>1</v>
      </c>
      <c r="AC200" t="n">
        <v>1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HYPERLINK("https://creighton-primo.hosted.exlibrisgroup.com/primo-explore/search?tab=default_tab&amp;search_scope=EVERYTHING&amp;vid=01CRU&amp;lang=en_US&amp;offset=0&amp;query=any,contains,991000490759702656","Catalog Record")</f>
        <v/>
      </c>
      <c r="AT200">
        <f>HYPERLINK("http://www.worldcat.org/oclc/2338793","WorldCat Record")</f>
        <v/>
      </c>
    </row>
    <row r="201">
      <c r="A201" t="inlineStr">
        <is>
          <t>No</t>
        </is>
      </c>
      <c r="B201" t="inlineStr">
        <is>
          <t>QV 25 B324a 1987</t>
        </is>
      </c>
      <c r="C201" t="inlineStr">
        <is>
          <t>0                      QV 0025000B  324a        1987</t>
        </is>
      </c>
      <c r="D201" t="inlineStr">
        <is>
          <t>Analytical procedures for therapeutic drug monitoring and emergency toxicology / Randall C. Baselt.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Baselt, Randall C.</t>
        </is>
      </c>
      <c r="L201" t="inlineStr">
        <is>
          <t>Littleton, Mass. : PSG Pub. Co., c1987.</t>
        </is>
      </c>
      <c r="M201" t="inlineStr">
        <is>
          <t>1987</t>
        </is>
      </c>
      <c r="N201" t="inlineStr">
        <is>
          <t>2nd ed.</t>
        </is>
      </c>
      <c r="O201" t="inlineStr">
        <is>
          <t>eng</t>
        </is>
      </c>
      <c r="P201" t="inlineStr">
        <is>
          <t>xxu</t>
        </is>
      </c>
      <c r="R201" t="inlineStr">
        <is>
          <t xml:space="preserve">QV </t>
        </is>
      </c>
      <c r="S201" t="n">
        <v>2</v>
      </c>
      <c r="T201" t="n">
        <v>2</v>
      </c>
      <c r="U201" t="inlineStr">
        <is>
          <t>1989-11-06</t>
        </is>
      </c>
      <c r="V201" t="inlineStr">
        <is>
          <t>1989-11-06</t>
        </is>
      </c>
      <c r="W201" t="inlineStr">
        <is>
          <t>1988-01-05</t>
        </is>
      </c>
      <c r="X201" t="inlineStr">
        <is>
          <t>1988-01-05</t>
        </is>
      </c>
      <c r="Y201" t="n">
        <v>103</v>
      </c>
      <c r="Z201" t="n">
        <v>79</v>
      </c>
      <c r="AA201" t="n">
        <v>166</v>
      </c>
      <c r="AB201" t="n">
        <v>1</v>
      </c>
      <c r="AC201" t="n">
        <v>1</v>
      </c>
      <c r="AD201" t="n">
        <v>2</v>
      </c>
      <c r="AE201" t="n">
        <v>6</v>
      </c>
      <c r="AF201" t="n">
        <v>0</v>
      </c>
      <c r="AG201" t="n">
        <v>3</v>
      </c>
      <c r="AH201" t="n">
        <v>1</v>
      </c>
      <c r="AI201" t="n">
        <v>1</v>
      </c>
      <c r="AJ201" t="n">
        <v>1</v>
      </c>
      <c r="AK201" t="n">
        <v>4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HYPERLINK("http://catalog.hathitrust.org/Record/000832515","HathiTrust Record")</f>
        <v/>
      </c>
      <c r="AS201">
        <f>HYPERLINK("https://creighton-primo.hosted.exlibrisgroup.com/primo-explore/search?tab=default_tab&amp;search_scope=EVERYTHING&amp;vid=01CRU&amp;lang=en_US&amp;offset=0&amp;query=any,contains,991001534999702656","Catalog Record")</f>
        <v/>
      </c>
      <c r="AT201">
        <f>HYPERLINK("http://www.worldcat.org/oclc/15084540","WorldCat Record")</f>
        <v/>
      </c>
    </row>
    <row r="202">
      <c r="A202" t="inlineStr">
        <is>
          <t>No</t>
        </is>
      </c>
      <c r="B202" t="inlineStr">
        <is>
          <t>QV 25 S997h 1990-91</t>
        </is>
      </c>
      <c r="C202" t="inlineStr">
        <is>
          <t>0                      QV 0025000S  997h        1990                                        -91</t>
        </is>
      </c>
      <c r="D202" t="inlineStr">
        <is>
          <t>HPLC in pharmaceutical analysis / author, Gábor Szepesi.</t>
        </is>
      </c>
      <c r="E202" t="inlineStr">
        <is>
          <t>V. 1</t>
        </is>
      </c>
      <c r="F202" t="inlineStr">
        <is>
          <t>Yes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Szepesi, Gábor, 1939-</t>
        </is>
      </c>
      <c r="L202" t="inlineStr">
        <is>
          <t>Boca Raton, Fla. : CRC Press, c1990-c1991.</t>
        </is>
      </c>
      <c r="M202" t="inlineStr">
        <is>
          <t>1990</t>
        </is>
      </c>
      <c r="O202" t="inlineStr">
        <is>
          <t>eng</t>
        </is>
      </c>
      <c r="P202" t="inlineStr">
        <is>
          <t>flu</t>
        </is>
      </c>
      <c r="R202" t="inlineStr">
        <is>
          <t xml:space="preserve">QV </t>
        </is>
      </c>
      <c r="S202" t="n">
        <v>8</v>
      </c>
      <c r="T202" t="n">
        <v>14</v>
      </c>
      <c r="U202" t="inlineStr">
        <is>
          <t>1999-01-15</t>
        </is>
      </c>
      <c r="V202" t="inlineStr">
        <is>
          <t>1999-06-22</t>
        </is>
      </c>
      <c r="W202" t="inlineStr">
        <is>
          <t>1991-03-02</t>
        </is>
      </c>
      <c r="X202" t="inlineStr">
        <is>
          <t>1991-03-02</t>
        </is>
      </c>
      <c r="Y202" t="n">
        <v>136</v>
      </c>
      <c r="Z202" t="n">
        <v>110</v>
      </c>
      <c r="AA202" t="n">
        <v>110</v>
      </c>
      <c r="AB202" t="n">
        <v>2</v>
      </c>
      <c r="AC202" t="n">
        <v>2</v>
      </c>
      <c r="AD202" t="n">
        <v>4</v>
      </c>
      <c r="AE202" t="n">
        <v>4</v>
      </c>
      <c r="AF202" t="n">
        <v>3</v>
      </c>
      <c r="AG202" t="n">
        <v>3</v>
      </c>
      <c r="AH202" t="n">
        <v>1</v>
      </c>
      <c r="AI202" t="n">
        <v>1</v>
      </c>
      <c r="AJ202" t="n">
        <v>0</v>
      </c>
      <c r="AK202" t="n">
        <v>0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T202">
        <f>HYPERLINK("http://www.worldcat.org/oclc/20800068","WorldCat Record")</f>
        <v/>
      </c>
    </row>
    <row r="203">
      <c r="A203" t="inlineStr">
        <is>
          <t>No</t>
        </is>
      </c>
      <c r="B203" t="inlineStr">
        <is>
          <t>QV 25 S997h 1990-91</t>
        </is>
      </c>
      <c r="C203" t="inlineStr">
        <is>
          <t>0                      QV 0025000S  997h        1990                                        -91</t>
        </is>
      </c>
      <c r="D203" t="inlineStr">
        <is>
          <t>HPLC in pharmaceutical analysis / author, Gábor Szepesi.</t>
        </is>
      </c>
      <c r="E203" t="inlineStr">
        <is>
          <t>V. 2</t>
        </is>
      </c>
      <c r="F203" t="inlineStr">
        <is>
          <t>Yes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Szepesi, Gábor, 1939-</t>
        </is>
      </c>
      <c r="L203" t="inlineStr">
        <is>
          <t>Boca Raton, Fla. : CRC Press, c1990-c1991.</t>
        </is>
      </c>
      <c r="M203" t="inlineStr">
        <is>
          <t>1990</t>
        </is>
      </c>
      <c r="O203" t="inlineStr">
        <is>
          <t>eng</t>
        </is>
      </c>
      <c r="P203" t="inlineStr">
        <is>
          <t>flu</t>
        </is>
      </c>
      <c r="R203" t="inlineStr">
        <is>
          <t xml:space="preserve">QV </t>
        </is>
      </c>
      <c r="S203" t="n">
        <v>6</v>
      </c>
      <c r="T203" t="n">
        <v>14</v>
      </c>
      <c r="U203" t="inlineStr">
        <is>
          <t>1999-06-22</t>
        </is>
      </c>
      <c r="V203" t="inlineStr">
        <is>
          <t>1999-06-22</t>
        </is>
      </c>
      <c r="W203" t="inlineStr">
        <is>
          <t>1991-03-02</t>
        </is>
      </c>
      <c r="X203" t="inlineStr">
        <is>
          <t>1991-03-02</t>
        </is>
      </c>
      <c r="Y203" t="n">
        <v>136</v>
      </c>
      <c r="Z203" t="n">
        <v>110</v>
      </c>
      <c r="AA203" t="n">
        <v>110</v>
      </c>
      <c r="AB203" t="n">
        <v>2</v>
      </c>
      <c r="AC203" t="n">
        <v>2</v>
      </c>
      <c r="AD203" t="n">
        <v>4</v>
      </c>
      <c r="AE203" t="n">
        <v>4</v>
      </c>
      <c r="AF203" t="n">
        <v>3</v>
      </c>
      <c r="AG203" t="n">
        <v>3</v>
      </c>
      <c r="AH203" t="n">
        <v>1</v>
      </c>
      <c r="AI203" t="n">
        <v>1</v>
      </c>
      <c r="AJ203" t="n">
        <v>0</v>
      </c>
      <c r="AK203" t="n">
        <v>0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T203">
        <f>HYPERLINK("http://www.worldcat.org/oclc/20800068","WorldCat Record")</f>
        <v/>
      </c>
    </row>
    <row r="204">
      <c r="A204" t="inlineStr">
        <is>
          <t>No</t>
        </is>
      </c>
      <c r="B204" t="inlineStr">
        <is>
          <t>QV 25 T469d 1990</t>
        </is>
      </c>
      <c r="C204" t="inlineStr">
        <is>
          <t>0                      QV 0025000T  469d        1990</t>
        </is>
      </c>
      <c r="D204" t="inlineStr">
        <is>
          <t>Drug bioscreening : drug evaluation techniques in pharmacology / Emmanuel B. Thompson.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Thompson, Emmanuel B.</t>
        </is>
      </c>
      <c r="L204" t="inlineStr">
        <is>
          <t>New York : VCH, c1990.</t>
        </is>
      </c>
      <c r="M204" t="inlineStr">
        <is>
          <t>1990</t>
        </is>
      </c>
      <c r="O204" t="inlineStr">
        <is>
          <t>eng</t>
        </is>
      </c>
      <c r="P204" t="inlineStr">
        <is>
          <t>xxu</t>
        </is>
      </c>
      <c r="R204" t="inlineStr">
        <is>
          <t xml:space="preserve">QV </t>
        </is>
      </c>
      <c r="S204" t="n">
        <v>1</v>
      </c>
      <c r="T204" t="n">
        <v>1</v>
      </c>
      <c r="U204" t="inlineStr">
        <is>
          <t>1992-04-07</t>
        </is>
      </c>
      <c r="V204" t="inlineStr">
        <is>
          <t>1992-04-07</t>
        </is>
      </c>
      <c r="W204" t="inlineStr">
        <is>
          <t>1992-04-07</t>
        </is>
      </c>
      <c r="X204" t="inlineStr">
        <is>
          <t>1992-04-07</t>
        </is>
      </c>
      <c r="Y204" t="n">
        <v>77</v>
      </c>
      <c r="Z204" t="n">
        <v>47</v>
      </c>
      <c r="AA204" t="n">
        <v>49</v>
      </c>
      <c r="AB204" t="n">
        <v>1</v>
      </c>
      <c r="AC204" t="n">
        <v>1</v>
      </c>
      <c r="AD204" t="n">
        <v>1</v>
      </c>
      <c r="AE204" t="n">
        <v>1</v>
      </c>
      <c r="AF204" t="n">
        <v>0</v>
      </c>
      <c r="AG204" t="n">
        <v>0</v>
      </c>
      <c r="AH204" t="n">
        <v>1</v>
      </c>
      <c r="AI204" t="n">
        <v>1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HYPERLINK("http://catalog.hathitrust.org/Record/002510520","HathiTrust Record")</f>
        <v/>
      </c>
      <c r="AS204">
        <f>HYPERLINK("https://creighton-primo.hosted.exlibrisgroup.com/primo-explore/search?tab=default_tab&amp;search_scope=EVERYTHING&amp;vid=01CRU&amp;lang=en_US&amp;offset=0&amp;query=any,contains,991001300729702656","Catalog Record")</f>
        <v/>
      </c>
      <c r="AT204">
        <f>HYPERLINK("http://www.worldcat.org/oclc/20799575","WorldCat Record")</f>
        <v/>
      </c>
    </row>
    <row r="205">
      <c r="A205" t="inlineStr">
        <is>
          <t>No</t>
        </is>
      </c>
      <c r="B205" t="inlineStr">
        <is>
          <t>QV 28 S316p 1942</t>
        </is>
      </c>
      <c r="C205" t="inlineStr">
        <is>
          <t>0                      QV 0028000S  316p        1942</t>
        </is>
      </c>
      <c r="D205" t="inlineStr">
        <is>
          <t>Pictorial life history of the apothecary chemist Carl Wilhelm Scheele / by George Urdang.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Urdang, George, 1882-1960.</t>
        </is>
      </c>
      <c r="L205" t="inlineStr">
        <is>
          <t>[Madison, Wis. : American institute of the history of pharmacy, 1942]</t>
        </is>
      </c>
      <c r="M205" t="inlineStr">
        <is>
          <t>1942</t>
        </is>
      </c>
      <c r="O205" t="inlineStr">
        <is>
          <t>eng</t>
        </is>
      </c>
      <c r="P205" t="inlineStr">
        <is>
          <t>wiu</t>
        </is>
      </c>
      <c r="R205" t="inlineStr">
        <is>
          <t xml:space="preserve">QV </t>
        </is>
      </c>
      <c r="S205" t="n">
        <v>1</v>
      </c>
      <c r="T205" t="n">
        <v>1</v>
      </c>
      <c r="U205" t="inlineStr">
        <is>
          <t>1991-11-26</t>
        </is>
      </c>
      <c r="V205" t="inlineStr">
        <is>
          <t>1991-11-26</t>
        </is>
      </c>
      <c r="W205" t="inlineStr">
        <is>
          <t>1991-11-26</t>
        </is>
      </c>
      <c r="X205" t="inlineStr">
        <is>
          <t>1991-11-26</t>
        </is>
      </c>
      <c r="Y205" t="n">
        <v>57</v>
      </c>
      <c r="Z205" t="n">
        <v>48</v>
      </c>
      <c r="AA205" t="n">
        <v>55</v>
      </c>
      <c r="AB205" t="n">
        <v>1</v>
      </c>
      <c r="AC205" t="n">
        <v>1</v>
      </c>
      <c r="AD205" t="n">
        <v>1</v>
      </c>
      <c r="AE205" t="n">
        <v>1</v>
      </c>
      <c r="AF205" t="n">
        <v>1</v>
      </c>
      <c r="AG205" t="n">
        <v>1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Yes</t>
        </is>
      </c>
      <c r="AQ205" t="inlineStr">
        <is>
          <t>No</t>
        </is>
      </c>
      <c r="AR205">
        <f>HYPERLINK("http://catalog.hathitrust.org/Record/001993004","HathiTrust Record")</f>
        <v/>
      </c>
      <c r="AS205">
        <f>HYPERLINK("https://creighton-primo.hosted.exlibrisgroup.com/primo-explore/search?tab=default_tab&amp;search_scope=EVERYTHING&amp;vid=01CRU&amp;lang=en_US&amp;offset=0&amp;query=any,contains,991001153609702656","Catalog Record")</f>
        <v/>
      </c>
      <c r="AT205">
        <f>HYPERLINK("http://www.worldcat.org/oclc/3864589","WorldCat Record")</f>
        <v/>
      </c>
    </row>
    <row r="206">
      <c r="A206" t="inlineStr">
        <is>
          <t>No</t>
        </is>
      </c>
      <c r="B206" t="inlineStr">
        <is>
          <t>QV 32 AA1 F2 1974</t>
        </is>
      </c>
      <c r="C206" t="inlineStr">
        <is>
          <t>0                      QV 0032000AA 1                  F  2           1974</t>
        </is>
      </c>
      <c r="D206" t="inlineStr">
        <is>
          <t>Federal and state laws pertaining to methadone / [By J.C. Cobb, ... [et al.].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Rockville, Md. : National Institute on Drug Abuse, [1974].</t>
        </is>
      </c>
      <c r="M206" t="inlineStr">
        <is>
          <t>1974</t>
        </is>
      </c>
      <c r="O206" t="inlineStr">
        <is>
          <t>eng</t>
        </is>
      </c>
      <c r="P206" t="inlineStr">
        <is>
          <t xml:space="preserve">xx </t>
        </is>
      </c>
      <c r="Q206" t="inlineStr">
        <is>
          <t>DHEW publication ; no. (ADM) 74-62</t>
        </is>
      </c>
      <c r="R206" t="inlineStr">
        <is>
          <t xml:space="preserve">QV </t>
        </is>
      </c>
      <c r="S206" t="n">
        <v>4</v>
      </c>
      <c r="T206" t="n">
        <v>4</v>
      </c>
      <c r="U206" t="inlineStr">
        <is>
          <t>2003-04-11</t>
        </is>
      </c>
      <c r="V206" t="inlineStr">
        <is>
          <t>2003-04-11</t>
        </is>
      </c>
      <c r="W206" t="inlineStr">
        <is>
          <t>1990-12-12</t>
        </is>
      </c>
      <c r="X206" t="inlineStr">
        <is>
          <t>1990-12-12</t>
        </is>
      </c>
      <c r="Y206" t="n">
        <v>187</v>
      </c>
      <c r="Z206" t="n">
        <v>178</v>
      </c>
      <c r="AA206" t="n">
        <v>222</v>
      </c>
      <c r="AB206" t="n">
        <v>2</v>
      </c>
      <c r="AC206" t="n">
        <v>3</v>
      </c>
      <c r="AD206" t="n">
        <v>9</v>
      </c>
      <c r="AE206" t="n">
        <v>16</v>
      </c>
      <c r="AF206" t="n">
        <v>2</v>
      </c>
      <c r="AG206" t="n">
        <v>3</v>
      </c>
      <c r="AH206" t="n">
        <v>1</v>
      </c>
      <c r="AI206" t="n">
        <v>3</v>
      </c>
      <c r="AJ206" t="n">
        <v>3</v>
      </c>
      <c r="AK206" t="n">
        <v>4</v>
      </c>
      <c r="AL206" t="n">
        <v>0</v>
      </c>
      <c r="AM206" t="n">
        <v>0</v>
      </c>
      <c r="AN206" t="n">
        <v>4</v>
      </c>
      <c r="AO206" t="n">
        <v>8</v>
      </c>
      <c r="AP206" t="inlineStr">
        <is>
          <t>Yes</t>
        </is>
      </c>
      <c r="AQ206" t="inlineStr">
        <is>
          <t>No</t>
        </is>
      </c>
      <c r="AR206">
        <f>HYPERLINK("http://catalog.hathitrust.org/Record/006182635","HathiTrust Record")</f>
        <v/>
      </c>
      <c r="AS206">
        <f>HYPERLINK("https://creighton-primo.hosted.exlibrisgroup.com/primo-explore/search?tab=default_tab&amp;search_scope=EVERYTHING&amp;vid=01CRU&amp;lang=en_US&amp;offset=0&amp;query=any,contains,991000812219702656","Catalog Record")</f>
        <v/>
      </c>
      <c r="AT206">
        <f>HYPERLINK("http://www.worldcat.org/oclc/1010431","WorldCat Record")</f>
        <v/>
      </c>
    </row>
    <row r="207">
      <c r="A207" t="inlineStr">
        <is>
          <t>No</t>
        </is>
      </c>
      <c r="B207" t="inlineStr">
        <is>
          <t>QV 32 AA1 H3L 1971</t>
        </is>
      </c>
      <c r="C207" t="inlineStr">
        <is>
          <t>0                      QV 0032000AA 1                  H  3L          1971</t>
        </is>
      </c>
      <c r="D207" t="inlineStr">
        <is>
          <t>Law for the pharmacy student / William E. Hassan, Jr.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Hassan, William E.</t>
        </is>
      </c>
      <c r="L207" t="inlineStr">
        <is>
          <t>Philadelphia : Lea &amp; Febiger, 1971.</t>
        </is>
      </c>
      <c r="M207" t="inlineStr">
        <is>
          <t>1971</t>
        </is>
      </c>
      <c r="O207" t="inlineStr">
        <is>
          <t>eng</t>
        </is>
      </c>
      <c r="P207" t="inlineStr">
        <is>
          <t>pau</t>
        </is>
      </c>
      <c r="R207" t="inlineStr">
        <is>
          <t xml:space="preserve">QV </t>
        </is>
      </c>
      <c r="S207" t="n">
        <v>8</v>
      </c>
      <c r="T207" t="n">
        <v>8</v>
      </c>
      <c r="U207" t="inlineStr">
        <is>
          <t>1989-01-09</t>
        </is>
      </c>
      <c r="V207" t="inlineStr">
        <is>
          <t>1989-01-09</t>
        </is>
      </c>
      <c r="W207" t="inlineStr">
        <is>
          <t>1988-03-01</t>
        </is>
      </c>
      <c r="X207" t="inlineStr">
        <is>
          <t>1988-03-01</t>
        </is>
      </c>
      <c r="Y207" t="n">
        <v>115</v>
      </c>
      <c r="Z207" t="n">
        <v>90</v>
      </c>
      <c r="AA207" t="n">
        <v>93</v>
      </c>
      <c r="AB207" t="n">
        <v>2</v>
      </c>
      <c r="AC207" t="n">
        <v>2</v>
      </c>
      <c r="AD207" t="n">
        <v>6</v>
      </c>
      <c r="AE207" t="n">
        <v>6</v>
      </c>
      <c r="AF207" t="n">
        <v>2</v>
      </c>
      <c r="AG207" t="n">
        <v>2</v>
      </c>
      <c r="AH207" t="n">
        <v>1</v>
      </c>
      <c r="AI207" t="n">
        <v>1</v>
      </c>
      <c r="AJ207" t="n">
        <v>0</v>
      </c>
      <c r="AK207" t="n">
        <v>0</v>
      </c>
      <c r="AL207" t="n">
        <v>0</v>
      </c>
      <c r="AM207" t="n">
        <v>0</v>
      </c>
      <c r="AN207" t="n">
        <v>3</v>
      </c>
      <c r="AO207" t="n">
        <v>3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HYPERLINK("http://catalog.hathitrust.org/Record/001573499","HathiTrust Record")</f>
        <v/>
      </c>
      <c r="AS207">
        <f>HYPERLINK("https://creighton-primo.hosted.exlibrisgroup.com/primo-explore/search?tab=default_tab&amp;search_scope=EVERYTHING&amp;vid=01CRU&amp;lang=en_US&amp;offset=0&amp;query=any,contains,991000951609702656","Catalog Record")</f>
        <v/>
      </c>
      <c r="AT207">
        <f>HYPERLINK("http://www.worldcat.org/oclc/203089","WorldCat Record")</f>
        <v/>
      </c>
    </row>
    <row r="208">
      <c r="A208" t="inlineStr">
        <is>
          <t>No</t>
        </is>
      </c>
      <c r="B208" t="inlineStr">
        <is>
          <t>QV 32 P536 1992</t>
        </is>
      </c>
      <c r="C208" t="inlineStr">
        <is>
          <t>0                      QV 0032000P  536         1992</t>
        </is>
      </c>
      <c r="D208" t="inlineStr">
        <is>
          <t>Pharmacy legislation regulations guidelines for long-term care : a resource for the consultant pharmacist.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Arlington, VA : American Society of Consultant Pharmacists, c1992.</t>
        </is>
      </c>
      <c r="M208" t="inlineStr">
        <is>
          <t>1992</t>
        </is>
      </c>
      <c r="O208" t="inlineStr">
        <is>
          <t>eng</t>
        </is>
      </c>
      <c r="P208" t="inlineStr">
        <is>
          <t>vau</t>
        </is>
      </c>
      <c r="R208" t="inlineStr">
        <is>
          <t xml:space="preserve">QV </t>
        </is>
      </c>
      <c r="S208" t="n">
        <v>17</v>
      </c>
      <c r="T208" t="n">
        <v>17</v>
      </c>
      <c r="U208" t="inlineStr">
        <is>
          <t>1995-10-27</t>
        </is>
      </c>
      <c r="V208" t="inlineStr">
        <is>
          <t>1995-10-27</t>
        </is>
      </c>
      <c r="W208" t="inlineStr">
        <is>
          <t>1992-03-31</t>
        </is>
      </c>
      <c r="X208" t="inlineStr">
        <is>
          <t>1992-03-31</t>
        </is>
      </c>
      <c r="Y208" t="n">
        <v>9</v>
      </c>
      <c r="Z208" t="n">
        <v>9</v>
      </c>
      <c r="AA208" t="n">
        <v>9</v>
      </c>
      <c r="AB208" t="n">
        <v>1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HYPERLINK("https://creighton-primo.hosted.exlibrisgroup.com/primo-explore/search?tab=default_tab&amp;search_scope=EVERYTHING&amp;vid=01CRU&amp;lang=en_US&amp;offset=0&amp;query=any,contains,991001298659702656","Catalog Record")</f>
        <v/>
      </c>
      <c r="AT208">
        <f>HYPERLINK("http://www.worldcat.org/oclc/26268992","WorldCat Record")</f>
        <v/>
      </c>
    </row>
    <row r="209">
      <c r="A209" t="inlineStr">
        <is>
          <t>No</t>
        </is>
      </c>
      <c r="B209" t="inlineStr">
        <is>
          <t>QV 33 AA1 A2p 1997</t>
        </is>
      </c>
      <c r="C209" t="inlineStr">
        <is>
          <t>0                      QV 0033000AA 1                  A  2p          1997</t>
        </is>
      </c>
      <c r="D209" t="inlineStr">
        <is>
          <t>Pharmacy practice and the law / Richard R. Abood, David B. Brushwood.</t>
        </is>
      </c>
      <c r="F209" t="inlineStr">
        <is>
          <t>No</t>
        </is>
      </c>
      <c r="G209" t="inlineStr">
        <is>
          <t>1</t>
        </is>
      </c>
      <c r="H209" t="inlineStr">
        <is>
          <t>Yes</t>
        </is>
      </c>
      <c r="I209" t="inlineStr">
        <is>
          <t>Yes</t>
        </is>
      </c>
      <c r="J209" t="inlineStr">
        <is>
          <t>0</t>
        </is>
      </c>
      <c r="K209" t="inlineStr">
        <is>
          <t>Abood, Richard R.</t>
        </is>
      </c>
      <c r="L209" t="inlineStr">
        <is>
          <t>Gaithersburg, Md. : Aspen, c1997.</t>
        </is>
      </c>
      <c r="M209" t="inlineStr">
        <is>
          <t>1997</t>
        </is>
      </c>
      <c r="N209" t="inlineStr">
        <is>
          <t>2nd ed.</t>
        </is>
      </c>
      <c r="O209" t="inlineStr">
        <is>
          <t>eng</t>
        </is>
      </c>
      <c r="P209" t="inlineStr">
        <is>
          <t>mdu</t>
        </is>
      </c>
      <c r="R209" t="inlineStr">
        <is>
          <t xml:space="preserve">QV </t>
        </is>
      </c>
      <c r="S209" t="n">
        <v>12</v>
      </c>
      <c r="T209" t="n">
        <v>24</v>
      </c>
      <c r="U209" t="inlineStr">
        <is>
          <t>2003-04-23</t>
        </is>
      </c>
      <c r="V209" t="inlineStr">
        <is>
          <t>2003-04-23</t>
        </is>
      </c>
      <c r="W209" t="inlineStr">
        <is>
          <t>1997-09-23</t>
        </is>
      </c>
      <c r="X209" t="inlineStr">
        <is>
          <t>1997-12-19</t>
        </is>
      </c>
      <c r="Y209" t="n">
        <v>113</v>
      </c>
      <c r="Z209" t="n">
        <v>106</v>
      </c>
      <c r="AA209" t="n">
        <v>435</v>
      </c>
      <c r="AB209" t="n">
        <v>1</v>
      </c>
      <c r="AC209" t="n">
        <v>3</v>
      </c>
      <c r="AD209" t="n">
        <v>8</v>
      </c>
      <c r="AE209" t="n">
        <v>24</v>
      </c>
      <c r="AF209" t="n">
        <v>3</v>
      </c>
      <c r="AG209" t="n">
        <v>9</v>
      </c>
      <c r="AH209" t="n">
        <v>1</v>
      </c>
      <c r="AI209" t="n">
        <v>3</v>
      </c>
      <c r="AJ209" t="n">
        <v>1</v>
      </c>
      <c r="AK209" t="n">
        <v>3</v>
      </c>
      <c r="AL209" t="n">
        <v>0</v>
      </c>
      <c r="AM209" t="n">
        <v>1</v>
      </c>
      <c r="AN209" t="n">
        <v>5</v>
      </c>
      <c r="AO209" t="n">
        <v>11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HYPERLINK("http://catalog.hathitrust.org/Record/003963472","HathiTrust Record")</f>
        <v/>
      </c>
      <c r="AS209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T209">
        <f>HYPERLINK("http://www.worldcat.org/oclc/36848137","WorldCat Record")</f>
        <v/>
      </c>
    </row>
    <row r="210">
      <c r="A210" t="inlineStr">
        <is>
          <t>No</t>
        </is>
      </c>
      <c r="B210" t="inlineStr">
        <is>
          <t>QV 33 AA1 A2p 1997</t>
        </is>
      </c>
      <c r="C210" t="inlineStr">
        <is>
          <t>0                      QV 0033000AA 1                  A  2p          1997</t>
        </is>
      </c>
      <c r="D210" t="inlineStr">
        <is>
          <t>Pharmacy practice and the law / Richard R. Abood, David B. Brushwood.</t>
        </is>
      </c>
      <c r="F210" t="inlineStr">
        <is>
          <t>No</t>
        </is>
      </c>
      <c r="G210" t="inlineStr">
        <is>
          <t>2</t>
        </is>
      </c>
      <c r="H210" t="inlineStr">
        <is>
          <t>Yes</t>
        </is>
      </c>
      <c r="I210" t="inlineStr">
        <is>
          <t>Yes</t>
        </is>
      </c>
      <c r="J210" t="inlineStr">
        <is>
          <t>0</t>
        </is>
      </c>
      <c r="K210" t="inlineStr">
        <is>
          <t>Abood, Richard R.</t>
        </is>
      </c>
      <c r="L210" t="inlineStr">
        <is>
          <t>Gaithersburg, Md. : Aspen, c1997.</t>
        </is>
      </c>
      <c r="M210" t="inlineStr">
        <is>
          <t>1997</t>
        </is>
      </c>
      <c r="N210" t="inlineStr">
        <is>
          <t>2nd ed.</t>
        </is>
      </c>
      <c r="O210" t="inlineStr">
        <is>
          <t>eng</t>
        </is>
      </c>
      <c r="P210" t="inlineStr">
        <is>
          <t>mdu</t>
        </is>
      </c>
      <c r="R210" t="inlineStr">
        <is>
          <t xml:space="preserve">QV </t>
        </is>
      </c>
      <c r="S210" t="n">
        <v>12</v>
      </c>
      <c r="T210" t="n">
        <v>24</v>
      </c>
      <c r="U210" t="inlineStr">
        <is>
          <t>2000-12-06</t>
        </is>
      </c>
      <c r="V210" t="inlineStr">
        <is>
          <t>2003-04-23</t>
        </is>
      </c>
      <c r="W210" t="inlineStr">
        <is>
          <t>1997-12-19</t>
        </is>
      </c>
      <c r="X210" t="inlineStr">
        <is>
          <t>1997-12-19</t>
        </is>
      </c>
      <c r="Y210" t="n">
        <v>113</v>
      </c>
      <c r="Z210" t="n">
        <v>106</v>
      </c>
      <c r="AA210" t="n">
        <v>435</v>
      </c>
      <c r="AB210" t="n">
        <v>1</v>
      </c>
      <c r="AC210" t="n">
        <v>3</v>
      </c>
      <c r="AD210" t="n">
        <v>8</v>
      </c>
      <c r="AE210" t="n">
        <v>24</v>
      </c>
      <c r="AF210" t="n">
        <v>3</v>
      </c>
      <c r="AG210" t="n">
        <v>9</v>
      </c>
      <c r="AH210" t="n">
        <v>1</v>
      </c>
      <c r="AI210" t="n">
        <v>3</v>
      </c>
      <c r="AJ210" t="n">
        <v>1</v>
      </c>
      <c r="AK210" t="n">
        <v>3</v>
      </c>
      <c r="AL210" t="n">
        <v>0</v>
      </c>
      <c r="AM210" t="n">
        <v>1</v>
      </c>
      <c r="AN210" t="n">
        <v>5</v>
      </c>
      <c r="AO210" t="n">
        <v>11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HYPERLINK("http://catalog.hathitrust.org/Record/003963472","HathiTrust Record")</f>
        <v/>
      </c>
      <c r="AS210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T210">
        <f>HYPERLINK("http://www.worldcat.org/oclc/36848137","WorldCat Record")</f>
        <v/>
      </c>
    </row>
    <row r="211">
      <c r="A211" t="inlineStr">
        <is>
          <t>No</t>
        </is>
      </c>
      <c r="B211" t="inlineStr">
        <is>
          <t>QV 33 AA1 D3p 1984</t>
        </is>
      </c>
      <c r="C211" t="inlineStr">
        <is>
          <t>0                      QV 0033000AA 1                  D  3p          1984</t>
        </is>
      </c>
      <c r="D211" t="inlineStr">
        <is>
          <t>Pharmacy and the law / Carl T. DeMarco.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Yes</t>
        </is>
      </c>
      <c r="J211" t="inlineStr">
        <is>
          <t>0</t>
        </is>
      </c>
      <c r="K211" t="inlineStr">
        <is>
          <t>DeMarco, Carl T.</t>
        </is>
      </c>
      <c r="L211" t="inlineStr">
        <is>
          <t>Rockville, Md. : Aspen Systems Corp., c1984.</t>
        </is>
      </c>
      <c r="M211" t="inlineStr">
        <is>
          <t>1984</t>
        </is>
      </c>
      <c r="N211" t="inlineStr">
        <is>
          <t>2nd ed.</t>
        </is>
      </c>
      <c r="O211" t="inlineStr">
        <is>
          <t>eng</t>
        </is>
      </c>
      <c r="P211" t="inlineStr">
        <is>
          <t xml:space="preserve">xx </t>
        </is>
      </c>
      <c r="R211" t="inlineStr">
        <is>
          <t xml:space="preserve">QV </t>
        </is>
      </c>
      <c r="S211" t="n">
        <v>9</v>
      </c>
      <c r="T211" t="n">
        <v>9</v>
      </c>
      <c r="U211" t="inlineStr">
        <is>
          <t>1994-05-19</t>
        </is>
      </c>
      <c r="V211" t="inlineStr">
        <is>
          <t>1994-05-19</t>
        </is>
      </c>
      <c r="W211" t="inlineStr">
        <is>
          <t>1988-01-27</t>
        </is>
      </c>
      <c r="X211" t="inlineStr">
        <is>
          <t>1988-01-27</t>
        </is>
      </c>
      <c r="Y211" t="n">
        <v>228</v>
      </c>
      <c r="Z211" t="n">
        <v>213</v>
      </c>
      <c r="AA211" t="n">
        <v>368</v>
      </c>
      <c r="AB211" t="n">
        <v>1</v>
      </c>
      <c r="AC211" t="n">
        <v>3</v>
      </c>
      <c r="AD211" t="n">
        <v>9</v>
      </c>
      <c r="AE211" t="n">
        <v>19</v>
      </c>
      <c r="AF211" t="n">
        <v>0</v>
      </c>
      <c r="AG211" t="n">
        <v>2</v>
      </c>
      <c r="AH211" t="n">
        <v>1</v>
      </c>
      <c r="AI211" t="n">
        <v>2</v>
      </c>
      <c r="AJ211" t="n">
        <v>0</v>
      </c>
      <c r="AK211" t="n">
        <v>1</v>
      </c>
      <c r="AL211" t="n">
        <v>0</v>
      </c>
      <c r="AM211" t="n">
        <v>0</v>
      </c>
      <c r="AN211" t="n">
        <v>8</v>
      </c>
      <c r="AO211" t="n">
        <v>15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HYPERLINK("https://creighton-primo.hosted.exlibrisgroup.com/primo-explore/search?tab=default_tab&amp;search_scope=EVERYTHING&amp;vid=01CRU&amp;lang=en_US&amp;offset=0&amp;query=any,contains,991000951769702656","Catalog Record")</f>
        <v/>
      </c>
      <c r="AT211">
        <f>HYPERLINK("http://www.worldcat.org/oclc/10557638","WorldCat Record")</f>
        <v/>
      </c>
    </row>
    <row r="212">
      <c r="A212" t="inlineStr">
        <is>
          <t>No</t>
        </is>
      </c>
      <c r="B212" t="inlineStr">
        <is>
          <t>QV 33 AA1 N6h 1986</t>
        </is>
      </c>
      <c r="C212" t="inlineStr">
        <is>
          <t>0                      QV 0033000AA 1                  N  6h          1986</t>
        </is>
      </c>
      <c r="D212" t="inlineStr">
        <is>
          <t>Handbook of federal drug law / James Robert Nielsen.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Yes</t>
        </is>
      </c>
      <c r="J212" t="inlineStr">
        <is>
          <t>0</t>
        </is>
      </c>
      <c r="K212" t="inlineStr">
        <is>
          <t>Nielsen, James Robert.</t>
        </is>
      </c>
      <c r="L212" t="inlineStr">
        <is>
          <t>Philadelphia : Lea &amp; Febiger, c1986.</t>
        </is>
      </c>
      <c r="M212" t="inlineStr">
        <is>
          <t>1986</t>
        </is>
      </c>
      <c r="O212" t="inlineStr">
        <is>
          <t>eng</t>
        </is>
      </c>
      <c r="P212" t="inlineStr">
        <is>
          <t>xxu</t>
        </is>
      </c>
      <c r="R212" t="inlineStr">
        <is>
          <t xml:space="preserve">QV </t>
        </is>
      </c>
      <c r="S212" t="n">
        <v>23</v>
      </c>
      <c r="T212" t="n">
        <v>23</v>
      </c>
      <c r="U212" t="inlineStr">
        <is>
          <t>1994-09-19</t>
        </is>
      </c>
      <c r="V212" t="inlineStr">
        <is>
          <t>1994-09-19</t>
        </is>
      </c>
      <c r="W212" t="inlineStr">
        <is>
          <t>1987-10-20</t>
        </is>
      </c>
      <c r="X212" t="inlineStr">
        <is>
          <t>1987-10-20</t>
        </is>
      </c>
      <c r="Y212" t="n">
        <v>181</v>
      </c>
      <c r="Z212" t="n">
        <v>159</v>
      </c>
      <c r="AA212" t="n">
        <v>263</v>
      </c>
      <c r="AB212" t="n">
        <v>1</v>
      </c>
      <c r="AC212" t="n">
        <v>1</v>
      </c>
      <c r="AD212" t="n">
        <v>7</v>
      </c>
      <c r="AE212" t="n">
        <v>10</v>
      </c>
      <c r="AF212" t="n">
        <v>2</v>
      </c>
      <c r="AG212" t="n">
        <v>2</v>
      </c>
      <c r="AH212" t="n">
        <v>2</v>
      </c>
      <c r="AI212" t="n">
        <v>2</v>
      </c>
      <c r="AJ212" t="n">
        <v>1</v>
      </c>
      <c r="AK212" t="n">
        <v>1</v>
      </c>
      <c r="AL212" t="n">
        <v>0</v>
      </c>
      <c r="AM212" t="n">
        <v>0</v>
      </c>
      <c r="AN212" t="n">
        <v>3</v>
      </c>
      <c r="AO212" t="n">
        <v>6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HYPERLINK("https://creighton-primo.hosted.exlibrisgroup.com/primo-explore/search?tab=default_tab&amp;search_scope=EVERYTHING&amp;vid=01CRU&amp;lang=en_US&amp;offset=0&amp;query=any,contains,991001528569702656","Catalog Record")</f>
        <v/>
      </c>
      <c r="AT212">
        <f>HYPERLINK("http://www.worldcat.org/oclc/12418611","WorldCat Record")</f>
        <v/>
      </c>
    </row>
    <row r="213">
      <c r="A213" t="inlineStr">
        <is>
          <t>No</t>
        </is>
      </c>
      <c r="B213" t="inlineStr">
        <is>
          <t>QV 33 AA1 N6h 1992</t>
        </is>
      </c>
      <c r="C213" t="inlineStr">
        <is>
          <t>0                      QV 0033000AA 1                  N  6h          1992</t>
        </is>
      </c>
      <c r="D213" t="inlineStr">
        <is>
          <t>Handbook of federal drug law / James Robert Nielsen.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Yes</t>
        </is>
      </c>
      <c r="J213" t="inlineStr">
        <is>
          <t>0</t>
        </is>
      </c>
      <c r="K213" t="inlineStr">
        <is>
          <t>Nielsen, James Robert.</t>
        </is>
      </c>
      <c r="L213" t="inlineStr">
        <is>
          <t>Philadelphia : Lea &amp; Febiger, c1992.</t>
        </is>
      </c>
      <c r="M213" t="inlineStr">
        <is>
          <t>1992</t>
        </is>
      </c>
      <c r="N213" t="inlineStr">
        <is>
          <t>2nd ed.</t>
        </is>
      </c>
      <c r="O213" t="inlineStr">
        <is>
          <t>eng</t>
        </is>
      </c>
      <c r="P213" t="inlineStr">
        <is>
          <t>pau</t>
        </is>
      </c>
      <c r="R213" t="inlineStr">
        <is>
          <t xml:space="preserve">QV </t>
        </is>
      </c>
      <c r="S213" t="n">
        <v>19</v>
      </c>
      <c r="T213" t="n">
        <v>19</v>
      </c>
      <c r="U213" t="inlineStr">
        <is>
          <t>2003-05-23</t>
        </is>
      </c>
      <c r="V213" t="inlineStr">
        <is>
          <t>2003-05-23</t>
        </is>
      </c>
      <c r="W213" t="inlineStr">
        <is>
          <t>1993-01-19</t>
        </is>
      </c>
      <c r="X213" t="inlineStr">
        <is>
          <t>1993-01-19</t>
        </is>
      </c>
      <c r="Y213" t="n">
        <v>161</v>
      </c>
      <c r="Z213" t="n">
        <v>151</v>
      </c>
      <c r="AA213" t="n">
        <v>263</v>
      </c>
      <c r="AB213" t="n">
        <v>1</v>
      </c>
      <c r="AC213" t="n">
        <v>1</v>
      </c>
      <c r="AD213" t="n">
        <v>6</v>
      </c>
      <c r="AE213" t="n">
        <v>10</v>
      </c>
      <c r="AF213" t="n">
        <v>2</v>
      </c>
      <c r="AG213" t="n">
        <v>2</v>
      </c>
      <c r="AH213" t="n">
        <v>2</v>
      </c>
      <c r="AI213" t="n">
        <v>2</v>
      </c>
      <c r="AJ213" t="n">
        <v>0</v>
      </c>
      <c r="AK213" t="n">
        <v>1</v>
      </c>
      <c r="AL213" t="n">
        <v>0</v>
      </c>
      <c r="AM213" t="n">
        <v>0</v>
      </c>
      <c r="AN213" t="n">
        <v>3</v>
      </c>
      <c r="AO213" t="n">
        <v>6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HYPERLINK("http://catalog.hathitrust.org/Record/002536532","HathiTrust Record")</f>
        <v/>
      </c>
      <c r="AS213">
        <f>HYPERLINK("https://creighton-primo.hosted.exlibrisgroup.com/primo-explore/search?tab=default_tab&amp;search_scope=EVERYTHING&amp;vid=01CRU&amp;lang=en_US&amp;offset=0&amp;query=any,contains,991001434329702656","Catalog Record")</f>
        <v/>
      </c>
      <c r="AT213">
        <f>HYPERLINK("http://www.worldcat.org/oclc/24669804","WorldCat Record")</f>
        <v/>
      </c>
    </row>
    <row r="214">
      <c r="A214" t="inlineStr">
        <is>
          <t>No</t>
        </is>
      </c>
      <c r="B214" t="inlineStr">
        <is>
          <t>QV33 AA1 R35 2001</t>
        </is>
      </c>
      <c r="C214" t="inlineStr">
        <is>
          <t>0                      QV 0033000AA 1                  R  35          2001</t>
        </is>
      </c>
      <c r="D214" t="inlineStr">
        <is>
          <t>Regulatory toxicololgy / [edited by] Shayne C. Gad.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London ; New York : Taylor &amp; Francis, 2001.</t>
        </is>
      </c>
      <c r="M214" t="inlineStr">
        <is>
          <t>2001</t>
        </is>
      </c>
      <c r="N214" t="inlineStr">
        <is>
          <t>2nd ed.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QV </t>
        </is>
      </c>
      <c r="S214" t="n">
        <v>2</v>
      </c>
      <c r="T214" t="n">
        <v>2</v>
      </c>
      <c r="U214" t="inlineStr">
        <is>
          <t>2006-01-25</t>
        </is>
      </c>
      <c r="V214" t="inlineStr">
        <is>
          <t>2006-01-25</t>
        </is>
      </c>
      <c r="W214" t="inlineStr">
        <is>
          <t>2003-06-06</t>
        </is>
      </c>
      <c r="X214" t="inlineStr">
        <is>
          <t>2003-06-06</t>
        </is>
      </c>
      <c r="Y214" t="n">
        <v>112</v>
      </c>
      <c r="Z214" t="n">
        <v>72</v>
      </c>
      <c r="AA214" t="n">
        <v>217</v>
      </c>
      <c r="AB214" t="n">
        <v>1</v>
      </c>
      <c r="AC214" t="n">
        <v>2</v>
      </c>
      <c r="AD214" t="n">
        <v>2</v>
      </c>
      <c r="AE214" t="n">
        <v>3</v>
      </c>
      <c r="AF214" t="n">
        <v>0</v>
      </c>
      <c r="AG214" t="n">
        <v>0</v>
      </c>
      <c r="AH214" t="n">
        <v>1</v>
      </c>
      <c r="AI214" t="n">
        <v>1</v>
      </c>
      <c r="AJ214" t="n">
        <v>0</v>
      </c>
      <c r="AK214" t="n">
        <v>0</v>
      </c>
      <c r="AL214" t="n">
        <v>0</v>
      </c>
      <c r="AM214" t="n">
        <v>1</v>
      </c>
      <c r="AN214" t="n">
        <v>1</v>
      </c>
      <c r="AO214" t="n">
        <v>1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HYPERLINK("https://creighton-primo.hosted.exlibrisgroup.com/primo-explore/search?tab=default_tab&amp;search_scope=EVERYTHING&amp;vid=01CRU&amp;lang=en_US&amp;offset=0&amp;query=any,contains,991000349169702656","Catalog Record")</f>
        <v/>
      </c>
      <c r="AT214">
        <f>HYPERLINK("http://www.worldcat.org/oclc/45420161","WorldCat Record")</f>
        <v/>
      </c>
    </row>
    <row r="215">
      <c r="A215" t="inlineStr">
        <is>
          <t>No</t>
        </is>
      </c>
      <c r="B215" t="inlineStr">
        <is>
          <t>QV 34 H236 1966 v.18</t>
        </is>
      </c>
      <c r="C215" t="inlineStr">
        <is>
          <t>0                      QV 0034000H  236         1966                                        v.18</t>
        </is>
      </c>
      <c r="D215" t="inlineStr">
        <is>
          <t>Histamine and anti-histaminics / contributors, S.G.. Alivisatos ... [et al.] ; sub-editor, Mauricio Rocha e Silva in collaboration with Hanna A. Rothschild.</t>
        </is>
      </c>
      <c r="E215" t="inlineStr">
        <is>
          <t>V. 18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Berlin ; New York : Springer-Verlag, 1966.</t>
        </is>
      </c>
      <c r="M215" t="inlineStr">
        <is>
          <t>1966</t>
        </is>
      </c>
      <c r="O215" t="inlineStr">
        <is>
          <t>eng</t>
        </is>
      </c>
      <c r="P215" t="inlineStr">
        <is>
          <t xml:space="preserve">gw </t>
        </is>
      </c>
      <c r="Q215" t="inlineStr">
        <is>
          <t>Handbook of experimental pharmacology : New series ; v. 18.</t>
        </is>
      </c>
      <c r="R215" t="inlineStr">
        <is>
          <t xml:space="preserve">QV </t>
        </is>
      </c>
      <c r="S215" t="n">
        <v>5</v>
      </c>
      <c r="T215" t="n">
        <v>5</v>
      </c>
      <c r="U215" t="inlineStr">
        <is>
          <t>2005-08-30</t>
        </is>
      </c>
      <c r="V215" t="inlineStr">
        <is>
          <t>2005-08-30</t>
        </is>
      </c>
      <c r="W215" t="inlineStr">
        <is>
          <t>1988-03-03</t>
        </is>
      </c>
      <c r="X215" t="inlineStr">
        <is>
          <t>1988-03-03</t>
        </is>
      </c>
      <c r="Y215" t="n">
        <v>122</v>
      </c>
      <c r="Z215" t="n">
        <v>84</v>
      </c>
      <c r="AA215" t="n">
        <v>100</v>
      </c>
      <c r="AB215" t="n">
        <v>1</v>
      </c>
      <c r="AC215" t="n">
        <v>1</v>
      </c>
      <c r="AD215" t="n">
        <v>3</v>
      </c>
      <c r="AE215" t="n">
        <v>3</v>
      </c>
      <c r="AF215" t="n">
        <v>1</v>
      </c>
      <c r="AG215" t="n">
        <v>1</v>
      </c>
      <c r="AH215" t="n">
        <v>2</v>
      </c>
      <c r="AI215" t="n">
        <v>2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HYPERLINK("http://catalog.hathitrust.org/Record/001579311","HathiTrust Record")</f>
        <v/>
      </c>
      <c r="AS215">
        <f>HYPERLINK("https://creighton-primo.hosted.exlibrisgroup.com/primo-explore/search?tab=default_tab&amp;search_scope=EVERYTHING&amp;vid=01CRU&amp;lang=en_US&amp;offset=0&amp;query=any,contains,991000951849702656","Catalog Record")</f>
        <v/>
      </c>
      <c r="AT215">
        <f>HYPERLINK("http://www.worldcat.org/oclc/3515687","WorldCat Record")</f>
        <v/>
      </c>
    </row>
    <row r="216">
      <c r="A216" t="inlineStr">
        <is>
          <t>No</t>
        </is>
      </c>
      <c r="B216" t="inlineStr">
        <is>
          <t>QV 34 H236 1971</t>
        </is>
      </c>
      <c r="C216" t="inlineStr">
        <is>
          <t>0                      QV 0034000H  236         1971</t>
        </is>
      </c>
      <c r="D216" t="inlineStr">
        <is>
          <t>Concepts in biochemical pharmacology / Contributors: W.P. Argy Editors: B.B. Brodie and J.R. Gillette. Assistant editor: Helen S. Ackerman.</t>
        </is>
      </c>
      <c r="E216" t="inlineStr">
        <is>
          <t>V. 28 PT. 2</t>
        </is>
      </c>
      <c r="F216" t="inlineStr">
        <is>
          <t>Yes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Berlin, New York : Springer-Verlag, 1971-</t>
        </is>
      </c>
      <c r="M216" t="inlineStr">
        <is>
          <t>1971</t>
        </is>
      </c>
      <c r="O216" t="inlineStr">
        <is>
          <t>eng</t>
        </is>
      </c>
      <c r="P216" t="inlineStr">
        <is>
          <t xml:space="preserve">gw </t>
        </is>
      </c>
      <c r="Q216" t="inlineStr">
        <is>
          <t>Handbuch der experimentellen Pharmakologie. Handbook of experimental pharmacology. New series, v. XXVIII, 1</t>
        </is>
      </c>
      <c r="R216" t="inlineStr">
        <is>
          <t xml:space="preserve">QV </t>
        </is>
      </c>
      <c r="S216" t="n">
        <v>0</v>
      </c>
      <c r="T216" t="n">
        <v>4</v>
      </c>
      <c r="V216" t="inlineStr">
        <is>
          <t>1997-10-11</t>
        </is>
      </c>
      <c r="W216" t="inlineStr">
        <is>
          <t>1988-03-03</t>
        </is>
      </c>
      <c r="X216" t="inlineStr">
        <is>
          <t>1988-03-03</t>
        </is>
      </c>
      <c r="Y216" t="n">
        <v>183</v>
      </c>
      <c r="Z216" t="n">
        <v>127</v>
      </c>
      <c r="AA216" t="n">
        <v>144</v>
      </c>
      <c r="AB216" t="n">
        <v>1</v>
      </c>
      <c r="AC216" t="n">
        <v>1</v>
      </c>
      <c r="AD216" t="n">
        <v>2</v>
      </c>
      <c r="AE216" t="n">
        <v>2</v>
      </c>
      <c r="AF216" t="n">
        <v>0</v>
      </c>
      <c r="AG216" t="n">
        <v>0</v>
      </c>
      <c r="AH216" t="n">
        <v>2</v>
      </c>
      <c r="AI216" t="n">
        <v>2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HYPERLINK("http://catalog.hathitrust.org/Record/008160488","HathiTrust Record")</f>
        <v/>
      </c>
      <c r="AS216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T216">
        <f>HYPERLINK("http://www.worldcat.org/oclc/155228","WorldCat Record")</f>
        <v/>
      </c>
    </row>
    <row r="217">
      <c r="A217" t="inlineStr">
        <is>
          <t>No</t>
        </is>
      </c>
      <c r="B217" t="inlineStr">
        <is>
          <t>QV 34 H236 1971</t>
        </is>
      </c>
      <c r="C217" t="inlineStr">
        <is>
          <t>0                      QV 0034000H  236         1971</t>
        </is>
      </c>
      <c r="D217" t="inlineStr">
        <is>
          <t>Concepts in biochemical pharmacology / Contributors: W.P. Argy Editors: B.B. Brodie and J.R. Gillette. Assistant editor: Helen S. Ackerman.</t>
        </is>
      </c>
      <c r="E217" t="inlineStr">
        <is>
          <t>V. 28 PT. 1</t>
        </is>
      </c>
      <c r="F217" t="inlineStr">
        <is>
          <t>Yes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Berlin, New York : Springer-Verlag, 1971-</t>
        </is>
      </c>
      <c r="M217" t="inlineStr">
        <is>
          <t>1971</t>
        </is>
      </c>
      <c r="O217" t="inlineStr">
        <is>
          <t>eng</t>
        </is>
      </c>
      <c r="P217" t="inlineStr">
        <is>
          <t xml:space="preserve">gw </t>
        </is>
      </c>
      <c r="Q217" t="inlineStr">
        <is>
          <t>Handbuch der experimentellen Pharmakologie. Handbook of experimental pharmacology. New series, v. XXVIII, 1</t>
        </is>
      </c>
      <c r="R217" t="inlineStr">
        <is>
          <t xml:space="preserve">QV </t>
        </is>
      </c>
      <c r="S217" t="n">
        <v>4</v>
      </c>
      <c r="T217" t="n">
        <v>4</v>
      </c>
      <c r="U217" t="inlineStr">
        <is>
          <t>1997-10-11</t>
        </is>
      </c>
      <c r="V217" t="inlineStr">
        <is>
          <t>1997-10-11</t>
        </is>
      </c>
      <c r="W217" t="inlineStr">
        <is>
          <t>1988-03-03</t>
        </is>
      </c>
      <c r="X217" t="inlineStr">
        <is>
          <t>1988-03-03</t>
        </is>
      </c>
      <c r="Y217" t="n">
        <v>183</v>
      </c>
      <c r="Z217" t="n">
        <v>127</v>
      </c>
      <c r="AA217" t="n">
        <v>144</v>
      </c>
      <c r="AB217" t="n">
        <v>1</v>
      </c>
      <c r="AC217" t="n">
        <v>1</v>
      </c>
      <c r="AD217" t="n">
        <v>2</v>
      </c>
      <c r="AE217" t="n">
        <v>2</v>
      </c>
      <c r="AF217" t="n">
        <v>0</v>
      </c>
      <c r="AG217" t="n">
        <v>0</v>
      </c>
      <c r="AH217" t="n">
        <v>2</v>
      </c>
      <c r="AI217" t="n">
        <v>2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HYPERLINK("http://catalog.hathitrust.org/Record/008160488","HathiTrust Record")</f>
        <v/>
      </c>
      <c r="AS217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T217">
        <f>HYPERLINK("http://www.worldcat.org/oclc/155228","WorldCat Record")</f>
        <v/>
      </c>
    </row>
    <row r="218">
      <c r="A218" t="inlineStr">
        <is>
          <t>No</t>
        </is>
      </c>
      <c r="B218" t="inlineStr">
        <is>
          <t>QV 38 A512b 1978</t>
        </is>
      </c>
      <c r="C218" t="inlineStr">
        <is>
          <t>0                      QV 0038000A  512b        1978</t>
        </is>
      </c>
      <c r="D218" t="inlineStr">
        <is>
      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American Pharmaceutical Association.</t>
        </is>
      </c>
      <c r="L218" t="inlineStr">
        <is>
          <t>Washington, D.C. : American Pharmaceutical Association, c1978.</t>
        </is>
      </c>
      <c r="M218" t="inlineStr">
        <is>
          <t>1978</t>
        </is>
      </c>
      <c r="N218" t="inlineStr">
        <is>
          <t>-- Cumulative ed. --</t>
        </is>
      </c>
      <c r="O218" t="inlineStr">
        <is>
          <t>eng</t>
        </is>
      </c>
      <c r="P218" t="inlineStr">
        <is>
          <t>dcu</t>
        </is>
      </c>
      <c r="R218" t="inlineStr">
        <is>
          <t xml:space="preserve">QV </t>
        </is>
      </c>
      <c r="S218" t="n">
        <v>2</v>
      </c>
      <c r="T218" t="n">
        <v>2</v>
      </c>
      <c r="U218" t="inlineStr">
        <is>
          <t>2001-04-27</t>
        </is>
      </c>
      <c r="V218" t="inlineStr">
        <is>
          <t>2001-04-27</t>
        </is>
      </c>
      <c r="W218" t="inlineStr">
        <is>
          <t>1988-01-28</t>
        </is>
      </c>
      <c r="X218" t="inlineStr">
        <is>
          <t>1988-01-28</t>
        </is>
      </c>
      <c r="Y218" t="n">
        <v>12</v>
      </c>
      <c r="Z218" t="n">
        <v>12</v>
      </c>
      <c r="AA218" t="n">
        <v>12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HYPERLINK("https://creighton-primo.hosted.exlibrisgroup.com/primo-explore/search?tab=default_tab&amp;search_scope=EVERYTHING&amp;vid=01CRU&amp;lang=en_US&amp;offset=0&amp;query=any,contains,991000951969702656","Catalog Record")</f>
        <v/>
      </c>
      <c r="AT218">
        <f>HYPERLINK("http://www.worldcat.org/oclc/3851970","WorldCat Record")</f>
        <v/>
      </c>
    </row>
    <row r="219">
      <c r="A219" t="inlineStr">
        <is>
          <t>No</t>
        </is>
      </c>
      <c r="B219" t="inlineStr">
        <is>
          <t>QV38 A947a 2003</t>
        </is>
      </c>
      <c r="C219" t="inlineStr">
        <is>
          <t>0                      QV 0038000A  947a        2003</t>
        </is>
      </c>
      <c r="D219" t="inlineStr">
        <is>
          <t>Absorption and drug development : solubility, permeability, and charge state / Alex Avdeef.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Avdeef, Alex.</t>
        </is>
      </c>
      <c r="L219" t="inlineStr">
        <is>
          <t>Hoboken, N.J. : Wiley-Interscience, c2003.</t>
        </is>
      </c>
      <c r="M219" t="inlineStr">
        <is>
          <t>2003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QV </t>
        </is>
      </c>
      <c r="S219" t="n">
        <v>1</v>
      </c>
      <c r="T219" t="n">
        <v>1</v>
      </c>
      <c r="U219" t="inlineStr">
        <is>
          <t>2009-11-12</t>
        </is>
      </c>
      <c r="V219" t="inlineStr">
        <is>
          <t>2009-11-12</t>
        </is>
      </c>
      <c r="W219" t="inlineStr">
        <is>
          <t>2004-11-16</t>
        </is>
      </c>
      <c r="X219" t="inlineStr">
        <is>
          <t>2004-11-16</t>
        </is>
      </c>
      <c r="Y219" t="n">
        <v>132</v>
      </c>
      <c r="Z219" t="n">
        <v>79</v>
      </c>
      <c r="AA219" t="n">
        <v>591</v>
      </c>
      <c r="AB219" t="n">
        <v>1</v>
      </c>
      <c r="AC219" t="n">
        <v>5</v>
      </c>
      <c r="AD219" t="n">
        <v>3</v>
      </c>
      <c r="AE219" t="n">
        <v>26</v>
      </c>
      <c r="AF219" t="n">
        <v>2</v>
      </c>
      <c r="AG219" t="n">
        <v>9</v>
      </c>
      <c r="AH219" t="n">
        <v>1</v>
      </c>
      <c r="AI219" t="n">
        <v>8</v>
      </c>
      <c r="AJ219" t="n">
        <v>0</v>
      </c>
      <c r="AK219" t="n">
        <v>8</v>
      </c>
      <c r="AL219" t="n">
        <v>0</v>
      </c>
      <c r="AM219" t="n">
        <v>4</v>
      </c>
      <c r="AN219" t="n">
        <v>0</v>
      </c>
      <c r="AO219" t="n">
        <v>1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HYPERLINK("http://catalog.hathitrust.org/Record/004336865","HathiTrust Record")</f>
        <v/>
      </c>
      <c r="AS219">
        <f>HYPERLINK("https://creighton-primo.hosted.exlibrisgroup.com/primo-explore/search?tab=default_tab&amp;search_scope=EVERYTHING&amp;vid=01CRU&amp;lang=en_US&amp;offset=0&amp;query=any,contains,991000411019702656","Catalog Record")</f>
        <v/>
      </c>
      <c r="AT219">
        <f>HYPERLINK("http://www.worldcat.org/oclc/52295258","WorldCat Record")</f>
        <v/>
      </c>
    </row>
    <row r="220">
      <c r="A220" t="inlineStr">
        <is>
          <t>No</t>
        </is>
      </c>
      <c r="B220" t="inlineStr">
        <is>
          <t>QV 38 B615a 1990</t>
        </is>
      </c>
      <c r="C220" t="inlineStr">
        <is>
          <t>0                      QV 0038000B  615a        1990</t>
        </is>
      </c>
      <c r="D220" t="inlineStr">
        <is>
          <t>Advanced methods of pharmacokinetic and pharmacodynamic systems analysis / edited by David Z. D'Argenio.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Biomedical Simulations Resource Workshop on Advanced Methods of Pharmacokinetic and Pharmacodynamic Systems Analysis (1990 : Marina del Rey, Calif.)</t>
        </is>
      </c>
      <c r="L220" t="inlineStr">
        <is>
          <t>New York : Plenum Press, c1991.</t>
        </is>
      </c>
      <c r="M220" t="inlineStr">
        <is>
          <t>1991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QV </t>
        </is>
      </c>
      <c r="S220" t="n">
        <v>6</v>
      </c>
      <c r="T220" t="n">
        <v>6</v>
      </c>
      <c r="U220" t="inlineStr">
        <is>
          <t>1996-01-25</t>
        </is>
      </c>
      <c r="V220" t="inlineStr">
        <is>
          <t>1996-01-25</t>
        </is>
      </c>
      <c r="W220" t="inlineStr">
        <is>
          <t>1991-11-18</t>
        </is>
      </c>
      <c r="X220" t="inlineStr">
        <is>
          <t>1991-11-18</t>
        </is>
      </c>
      <c r="Y220" t="n">
        <v>81</v>
      </c>
      <c r="Z220" t="n">
        <v>55</v>
      </c>
      <c r="AA220" t="n">
        <v>82</v>
      </c>
      <c r="AB220" t="n">
        <v>1</v>
      </c>
      <c r="AC220" t="n">
        <v>1</v>
      </c>
      <c r="AD220" t="n">
        <v>2</v>
      </c>
      <c r="AE220" t="n">
        <v>3</v>
      </c>
      <c r="AF220" t="n">
        <v>1</v>
      </c>
      <c r="AG220" t="n">
        <v>2</v>
      </c>
      <c r="AH220" t="n">
        <v>1</v>
      </c>
      <c r="AI220" t="n">
        <v>1</v>
      </c>
      <c r="AJ220" t="n">
        <v>1</v>
      </c>
      <c r="AK220" t="n">
        <v>2</v>
      </c>
      <c r="AL220" t="n">
        <v>0</v>
      </c>
      <c r="AM220" t="n">
        <v>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HYPERLINK("https://creighton-primo.hosted.exlibrisgroup.com/primo-explore/search?tab=default_tab&amp;search_scope=EVERYTHING&amp;vid=01CRU&amp;lang=en_US&amp;offset=0&amp;query=any,contains,991001021499702656","Catalog Record")</f>
        <v/>
      </c>
      <c r="AT220">
        <f>HYPERLINK("http://www.worldcat.org/oclc/24065077","WorldCat Record")</f>
        <v/>
      </c>
    </row>
    <row r="221">
      <c r="A221" t="inlineStr">
        <is>
          <t>No</t>
        </is>
      </c>
      <c r="B221" t="inlineStr">
        <is>
          <t>QV 38 B775p 1986</t>
        </is>
      </c>
      <c r="C221" t="inlineStr">
        <is>
          <t>0                      QV 0038000B  775p        1986</t>
        </is>
      </c>
      <c r="D221" t="inlineStr">
        <is>
          <t>Pharmacokinetics for the non-mathematical / D.W.A. Bourne, E.J. Triggs, and M.J. Eadie.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Bourne, D. W. A. (David W. A.), 1946-</t>
        </is>
      </c>
      <c r="L221" t="inlineStr">
        <is>
          <t>Lancaster ; Boston : MTP Press, c1986.</t>
        </is>
      </c>
      <c r="M221" t="inlineStr">
        <is>
          <t>1986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QV </t>
        </is>
      </c>
      <c r="S221" t="n">
        <v>15</v>
      </c>
      <c r="T221" t="n">
        <v>15</v>
      </c>
      <c r="U221" t="inlineStr">
        <is>
          <t>2005-03-24</t>
        </is>
      </c>
      <c r="V221" t="inlineStr">
        <is>
          <t>2005-03-24</t>
        </is>
      </c>
      <c r="W221" t="inlineStr">
        <is>
          <t>1988-01-28</t>
        </is>
      </c>
      <c r="X221" t="inlineStr">
        <is>
          <t>1988-01-28</t>
        </is>
      </c>
      <c r="Y221" t="n">
        <v>128</v>
      </c>
      <c r="Z221" t="n">
        <v>74</v>
      </c>
      <c r="AA221" t="n">
        <v>74</v>
      </c>
      <c r="AB221" t="n">
        <v>1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HYPERLINK("https://creighton-primo.hosted.exlibrisgroup.com/primo-explore/search?tab=default_tab&amp;search_scope=EVERYTHING&amp;vid=01CRU&amp;lang=en_US&amp;offset=0&amp;query=any,contains,991000951929702656","Catalog Record")</f>
        <v/>
      </c>
      <c r="AT221">
        <f>HYPERLINK("http://www.worldcat.org/oclc/12977848","WorldCat Record")</f>
        <v/>
      </c>
    </row>
    <row r="222">
      <c r="A222" t="inlineStr">
        <is>
          <t>No</t>
        </is>
      </c>
      <c r="B222" t="inlineStr">
        <is>
          <t>QV 38 B854d 1994</t>
        </is>
      </c>
      <c r="C222" t="inlineStr">
        <is>
          <t>0                      QV 0038000B  854d        1994</t>
        </is>
      </c>
      <c r="D222" t="inlineStr">
        <is>
          <t>Drugs in pregnancy and lactation : a reference guide to fetal and neonatal risk / Gerald G. Briggs, Roger K. Freeman, Sumner J. Yaffe.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Yes</t>
        </is>
      </c>
      <c r="J222" t="inlineStr">
        <is>
          <t>2</t>
        </is>
      </c>
      <c r="K222" t="inlineStr">
        <is>
          <t>Briggs, Gerald G.</t>
        </is>
      </c>
      <c r="L222" t="inlineStr">
        <is>
          <t>Baltimore : Williams &amp; Wilkins, c1994.</t>
        </is>
      </c>
      <c r="M222" t="inlineStr">
        <is>
          <t>1994</t>
        </is>
      </c>
      <c r="N222" t="inlineStr">
        <is>
          <t>4th ed.</t>
        </is>
      </c>
      <c r="O222" t="inlineStr">
        <is>
          <t>eng</t>
        </is>
      </c>
      <c r="P222" t="inlineStr">
        <is>
          <t>mdu</t>
        </is>
      </c>
      <c r="R222" t="inlineStr">
        <is>
          <t xml:space="preserve">QV </t>
        </is>
      </c>
      <c r="S222" t="n">
        <v>32</v>
      </c>
      <c r="T222" t="n">
        <v>32</v>
      </c>
      <c r="U222" t="inlineStr">
        <is>
          <t>2001-06-19</t>
        </is>
      </c>
      <c r="V222" t="inlineStr">
        <is>
          <t>2001-06-19</t>
        </is>
      </c>
      <c r="W222" t="inlineStr">
        <is>
          <t>1994-05-25</t>
        </is>
      </c>
      <c r="X222" t="inlineStr">
        <is>
          <t>1994-05-25</t>
        </is>
      </c>
      <c r="Y222" t="n">
        <v>237</v>
      </c>
      <c r="Z222" t="n">
        <v>160</v>
      </c>
      <c r="AA222" t="n">
        <v>1284</v>
      </c>
      <c r="AB222" t="n">
        <v>2</v>
      </c>
      <c r="AC222" t="n">
        <v>16</v>
      </c>
      <c r="AD222" t="n">
        <v>2</v>
      </c>
      <c r="AE222" t="n">
        <v>50</v>
      </c>
      <c r="AF222" t="n">
        <v>1</v>
      </c>
      <c r="AG222" t="n">
        <v>16</v>
      </c>
      <c r="AH222" t="n">
        <v>0</v>
      </c>
      <c r="AI222" t="n">
        <v>11</v>
      </c>
      <c r="AJ222" t="n">
        <v>1</v>
      </c>
      <c r="AK222" t="n">
        <v>17</v>
      </c>
      <c r="AL222" t="n">
        <v>0</v>
      </c>
      <c r="AM222" t="n">
        <v>13</v>
      </c>
      <c r="AN222" t="n">
        <v>0</v>
      </c>
      <c r="AO222" t="n">
        <v>2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HYPERLINK("https://creighton-primo.hosted.exlibrisgroup.com/primo-explore/search?tab=default_tab&amp;search_scope=EVERYTHING&amp;vid=01CRU&amp;lang=en_US&amp;offset=0&amp;query=any,contains,991001194779702656","Catalog Record")</f>
        <v/>
      </c>
      <c r="AT222">
        <f>HYPERLINK("http://www.worldcat.org/oclc/30376139","WorldCat Record")</f>
        <v/>
      </c>
    </row>
    <row r="223">
      <c r="A223" t="inlineStr">
        <is>
          <t>No</t>
        </is>
      </c>
      <c r="B223" t="inlineStr">
        <is>
          <t>QV 38 B854d 1998</t>
        </is>
      </c>
      <c r="C223" t="inlineStr">
        <is>
          <t>0                      QV 0038000B  854d        1998</t>
        </is>
      </c>
      <c r="D223" t="inlineStr">
        <is>
          <t>Drugs in pregnancy and lactation : a reference guide to fetal and neonatal risk / Gerald G. Briggs, Roger K. Freeman, Sumner J. Yaffe.</t>
        </is>
      </c>
      <c r="F223" t="inlineStr">
        <is>
          <t>No</t>
        </is>
      </c>
      <c r="G223" t="inlineStr">
        <is>
          <t>2</t>
        </is>
      </c>
      <c r="H223" t="inlineStr">
        <is>
          <t>No</t>
        </is>
      </c>
      <c r="I223" t="inlineStr">
        <is>
          <t>Yes</t>
        </is>
      </c>
      <c r="J223" t="inlineStr">
        <is>
          <t>2</t>
        </is>
      </c>
      <c r="K223" t="inlineStr">
        <is>
          <t>Briggs, Gerald G.</t>
        </is>
      </c>
      <c r="L223" t="inlineStr">
        <is>
          <t>Baltimore : Williams &amp; Wilkins, c1998.</t>
        </is>
      </c>
      <c r="M223" t="inlineStr">
        <is>
          <t>1998</t>
        </is>
      </c>
      <c r="N223" t="inlineStr">
        <is>
          <t>5th ed.</t>
        </is>
      </c>
      <c r="O223" t="inlineStr">
        <is>
          <t>eng</t>
        </is>
      </c>
      <c r="P223" t="inlineStr">
        <is>
          <t>mdu</t>
        </is>
      </c>
      <c r="R223" t="inlineStr">
        <is>
          <t xml:space="preserve">QV </t>
        </is>
      </c>
      <c r="S223" t="n">
        <v>95</v>
      </c>
      <c r="T223" t="n">
        <v>95</v>
      </c>
      <c r="U223" t="inlineStr">
        <is>
          <t>1999-05-04</t>
        </is>
      </c>
      <c r="V223" t="inlineStr">
        <is>
          <t>1999-05-04</t>
        </is>
      </c>
      <c r="W223" t="inlineStr">
        <is>
          <t>1998-10-29</t>
        </is>
      </c>
      <c r="X223" t="inlineStr">
        <is>
          <t>1998-10-29</t>
        </is>
      </c>
      <c r="Y223" t="n">
        <v>245</v>
      </c>
      <c r="Z223" t="n">
        <v>175</v>
      </c>
      <c r="AA223" t="n">
        <v>1284</v>
      </c>
      <c r="AB223" t="n">
        <v>3</v>
      </c>
      <c r="AC223" t="n">
        <v>16</v>
      </c>
      <c r="AD223" t="n">
        <v>6</v>
      </c>
      <c r="AE223" t="n">
        <v>50</v>
      </c>
      <c r="AF223" t="n">
        <v>3</v>
      </c>
      <c r="AG223" t="n">
        <v>16</v>
      </c>
      <c r="AH223" t="n">
        <v>1</v>
      </c>
      <c r="AI223" t="n">
        <v>11</v>
      </c>
      <c r="AJ223" t="n">
        <v>2</v>
      </c>
      <c r="AK223" t="n">
        <v>17</v>
      </c>
      <c r="AL223" t="n">
        <v>1</v>
      </c>
      <c r="AM223" t="n">
        <v>13</v>
      </c>
      <c r="AN223" t="n">
        <v>0</v>
      </c>
      <c r="AO223" t="n">
        <v>2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HYPERLINK("https://creighton-primo.hosted.exlibrisgroup.com/primo-explore/search?tab=default_tab&amp;search_scope=EVERYTHING&amp;vid=01CRU&amp;lang=en_US&amp;offset=0&amp;query=any,contains,991000666659702656","Catalog Record")</f>
        <v/>
      </c>
      <c r="AT223">
        <f>HYPERLINK("http://www.worldcat.org/oclc/38016987","WorldCat Record")</f>
        <v/>
      </c>
    </row>
    <row r="224">
      <c r="A224" t="inlineStr">
        <is>
          <t>No</t>
        </is>
      </c>
      <c r="B224" t="inlineStr">
        <is>
          <t>QV 38 C641 1989</t>
        </is>
      </c>
      <c r="C224" t="inlineStr">
        <is>
          <t>0                      QV 0038000C  641         1989</t>
        </is>
      </c>
      <c r="D224" t="inlineStr">
        <is>
          <t>Clinical pharmacokinetics : Drug data handbook 1989.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L224" t="inlineStr">
        <is>
          <t>Auckland, New Zealand : ADIS Press, c1989.</t>
        </is>
      </c>
      <c r="M224" t="inlineStr">
        <is>
          <t>1989</t>
        </is>
      </c>
      <c r="O224" t="inlineStr">
        <is>
          <t>eng</t>
        </is>
      </c>
      <c r="P224" t="inlineStr">
        <is>
          <t xml:space="preserve">nz </t>
        </is>
      </c>
      <c r="R224" t="inlineStr">
        <is>
          <t xml:space="preserve">QV </t>
        </is>
      </c>
      <c r="S224" t="n">
        <v>6</v>
      </c>
      <c r="T224" t="n">
        <v>6</v>
      </c>
      <c r="U224" t="inlineStr">
        <is>
          <t>1989-04-12</t>
        </is>
      </c>
      <c r="V224" t="inlineStr">
        <is>
          <t>1989-04-12</t>
        </is>
      </c>
      <c r="W224" t="inlineStr">
        <is>
          <t>1989-04-12</t>
        </is>
      </c>
      <c r="X224" t="inlineStr">
        <is>
          <t>1989-04-12</t>
        </is>
      </c>
      <c r="Y224" t="n">
        <v>19</v>
      </c>
      <c r="Z224" t="n">
        <v>11</v>
      </c>
      <c r="AA224" t="n">
        <v>11</v>
      </c>
      <c r="AB224" t="n">
        <v>1</v>
      </c>
      <c r="AC224" t="n">
        <v>1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HYPERLINK("https://creighton-primo.hosted.exlibrisgroup.com/primo-explore/search?tab=default_tab&amp;search_scope=EVERYTHING&amp;vid=01CRU&amp;lang=en_US&amp;offset=0&amp;query=any,contains,991001282539702656","Catalog Record")</f>
        <v/>
      </c>
      <c r="AT224">
        <f>HYPERLINK("http://www.worldcat.org/oclc/19497025","WorldCat Record")</f>
        <v/>
      </c>
    </row>
    <row r="225">
      <c r="A225" t="inlineStr">
        <is>
          <t>No</t>
        </is>
      </c>
      <c r="B225" t="inlineStr">
        <is>
          <t>QV 38 C6413 1988</t>
        </is>
      </c>
      <c r="C225" t="inlineStr">
        <is>
          <t>0                      QV 0038000C  6413        1988</t>
        </is>
      </c>
      <c r="D225" t="inlineStr">
        <is>
          <t>Clinical pharmacology and nursing / [edited by] Charold L. Baer, Bradley R. Williams.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Springhouse, Pa. : Springhouse Pub. Co., c1988.</t>
        </is>
      </c>
      <c r="M225" t="inlineStr">
        <is>
          <t>1988</t>
        </is>
      </c>
      <c r="O225" t="inlineStr">
        <is>
          <t>eng</t>
        </is>
      </c>
      <c r="P225" t="inlineStr">
        <is>
          <t>xxu</t>
        </is>
      </c>
      <c r="R225" t="inlineStr">
        <is>
          <t xml:space="preserve">QV </t>
        </is>
      </c>
      <c r="S225" t="n">
        <v>9</v>
      </c>
      <c r="T225" t="n">
        <v>9</v>
      </c>
      <c r="U225" t="inlineStr">
        <is>
          <t>2005-11-16</t>
        </is>
      </c>
      <c r="V225" t="inlineStr">
        <is>
          <t>2005-11-16</t>
        </is>
      </c>
      <c r="W225" t="inlineStr">
        <is>
          <t>1988-07-08</t>
        </is>
      </c>
      <c r="X225" t="inlineStr">
        <is>
          <t>1988-07-08</t>
        </is>
      </c>
      <c r="Y225" t="n">
        <v>130</v>
      </c>
      <c r="Z225" t="n">
        <v>110</v>
      </c>
      <c r="AA225" t="n">
        <v>259</v>
      </c>
      <c r="AB225" t="n">
        <v>1</v>
      </c>
      <c r="AC225" t="n">
        <v>2</v>
      </c>
      <c r="AD225" t="n">
        <v>1</v>
      </c>
      <c r="AE225" t="n">
        <v>6</v>
      </c>
      <c r="AF225" t="n">
        <v>1</v>
      </c>
      <c r="AG225" t="n">
        <v>3</v>
      </c>
      <c r="AH225" t="n">
        <v>0</v>
      </c>
      <c r="AI225" t="n">
        <v>2</v>
      </c>
      <c r="AJ225" t="n">
        <v>1</v>
      </c>
      <c r="AK225" t="n">
        <v>3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HYPERLINK("https://creighton-primo.hosted.exlibrisgroup.com/primo-explore/search?tab=default_tab&amp;search_scope=EVERYTHING&amp;vid=01CRU&amp;lang=en_US&amp;offset=0&amp;query=any,contains,991001417319702656","Catalog Record")</f>
        <v/>
      </c>
      <c r="AT225">
        <f>HYPERLINK("http://www.worldcat.org/oclc/16950645","WorldCat Record")</f>
        <v/>
      </c>
    </row>
    <row r="226">
      <c r="A226" t="inlineStr">
        <is>
          <t>No</t>
        </is>
      </c>
      <c r="B226" t="inlineStr">
        <is>
          <t>QV 38 C6417 1985</t>
        </is>
      </c>
      <c r="C226" t="inlineStr">
        <is>
          <t>0                      QV 0038000C  6417        1985</t>
        </is>
      </c>
      <c r="D226" t="inlineStr">
        <is>
          <t>Clinical pharmacology and therapeutics in nursing.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New York : McGraw-Hill, c1985.</t>
        </is>
      </c>
      <c r="M226" t="inlineStr">
        <is>
          <t>1985</t>
        </is>
      </c>
      <c r="N226" t="inlineStr">
        <is>
          <t>2nd ed. / [edited by] Mathew B. Wiener, Ginette A. Pepper.</t>
        </is>
      </c>
      <c r="O226" t="inlineStr">
        <is>
          <t>eng</t>
        </is>
      </c>
      <c r="P226" t="inlineStr">
        <is>
          <t>xxu</t>
        </is>
      </c>
      <c r="R226" t="inlineStr">
        <is>
          <t xml:space="preserve">QV </t>
        </is>
      </c>
      <c r="S226" t="n">
        <v>8</v>
      </c>
      <c r="T226" t="n">
        <v>8</v>
      </c>
      <c r="U226" t="inlineStr">
        <is>
          <t>1989-11-20</t>
        </is>
      </c>
      <c r="V226" t="inlineStr">
        <is>
          <t>1989-11-20</t>
        </is>
      </c>
      <c r="W226" t="inlineStr">
        <is>
          <t>1988-10-26</t>
        </is>
      </c>
      <c r="X226" t="inlineStr">
        <is>
          <t>1988-10-26</t>
        </is>
      </c>
      <c r="Y226" t="n">
        <v>177</v>
      </c>
      <c r="Z226" t="n">
        <v>151</v>
      </c>
      <c r="AA226" t="n">
        <v>241</v>
      </c>
      <c r="AB226" t="n">
        <v>1</v>
      </c>
      <c r="AC226" t="n">
        <v>2</v>
      </c>
      <c r="AD226" t="n">
        <v>4</v>
      </c>
      <c r="AE226" t="n">
        <v>6</v>
      </c>
      <c r="AF226" t="n">
        <v>1</v>
      </c>
      <c r="AG226" t="n">
        <v>1</v>
      </c>
      <c r="AH226" t="n">
        <v>1</v>
      </c>
      <c r="AI226" t="n">
        <v>1</v>
      </c>
      <c r="AJ226" t="n">
        <v>3</v>
      </c>
      <c r="AK226" t="n">
        <v>4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HYPERLINK("http://catalog.hathitrust.org/Record/000462030","HathiTrust Record")</f>
        <v/>
      </c>
      <c r="AS226">
        <f>HYPERLINK("https://creighton-primo.hosted.exlibrisgroup.com/primo-explore/search?tab=default_tab&amp;search_scope=EVERYTHING&amp;vid=01CRU&amp;lang=en_US&amp;offset=0&amp;query=any,contains,991001102529702656","Catalog Record")</f>
        <v/>
      </c>
      <c r="AT226">
        <f>HYPERLINK("http://www.worldcat.org/oclc/11470058","WorldCat Record")</f>
        <v/>
      </c>
    </row>
    <row r="227">
      <c r="A227" t="inlineStr">
        <is>
          <t>No</t>
        </is>
      </c>
      <c r="B227" t="inlineStr">
        <is>
          <t>QV 38 C855m 1994</t>
        </is>
      </c>
      <c r="C227" t="inlineStr">
        <is>
          <t>0                      QV 0038000C  855m        1994</t>
        </is>
      </c>
      <c r="D227" t="inlineStr">
        <is>
          <t>Molecular mechanisms of drug action / Christopher J. Coulson.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Coulson, Christopher J.</t>
        </is>
      </c>
      <c r="L227" t="inlineStr">
        <is>
          <t>London ; Bristol, Pa. : Taylor &amp; Francis, c1994.</t>
        </is>
      </c>
      <c r="M227" t="inlineStr">
        <is>
          <t>1994</t>
        </is>
      </c>
      <c r="N227" t="inlineStr">
        <is>
          <t>2nd ed.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QV </t>
        </is>
      </c>
      <c r="S227" t="n">
        <v>6</v>
      </c>
      <c r="T227" t="n">
        <v>6</v>
      </c>
      <c r="U227" t="inlineStr">
        <is>
          <t>1997-11-29</t>
        </is>
      </c>
      <c r="V227" t="inlineStr">
        <is>
          <t>1997-11-29</t>
        </is>
      </c>
      <c r="W227" t="inlineStr">
        <is>
          <t>1995-02-22</t>
        </is>
      </c>
      <c r="X227" t="inlineStr">
        <is>
          <t>1995-02-22</t>
        </is>
      </c>
      <c r="Y227" t="n">
        <v>168</v>
      </c>
      <c r="Z227" t="n">
        <v>86</v>
      </c>
      <c r="AA227" t="n">
        <v>214</v>
      </c>
      <c r="AB227" t="n">
        <v>1</v>
      </c>
      <c r="AC227" t="n">
        <v>1</v>
      </c>
      <c r="AD227" t="n">
        <v>2</v>
      </c>
      <c r="AE227" t="n">
        <v>6</v>
      </c>
      <c r="AF227" t="n">
        <v>1</v>
      </c>
      <c r="AG227" t="n">
        <v>3</v>
      </c>
      <c r="AH227" t="n">
        <v>1</v>
      </c>
      <c r="AI227" t="n">
        <v>1</v>
      </c>
      <c r="AJ227" t="n">
        <v>0</v>
      </c>
      <c r="AK227" t="n">
        <v>2</v>
      </c>
      <c r="AL227" t="n">
        <v>0</v>
      </c>
      <c r="AM227" t="n">
        <v>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HYPERLINK("https://creighton-primo.hosted.exlibrisgroup.com/primo-explore/search?tab=default_tab&amp;search_scope=EVERYTHING&amp;vid=01CRU&amp;lang=en_US&amp;offset=0&amp;query=any,contains,991001396399702656","Catalog Record")</f>
        <v/>
      </c>
      <c r="AT227">
        <f>HYPERLINK("http://www.worldcat.org/oclc/28802065","WorldCat Record")</f>
        <v/>
      </c>
    </row>
    <row r="228">
      <c r="A228" t="inlineStr">
        <is>
          <t>No</t>
        </is>
      </c>
      <c r="B228" t="inlineStr">
        <is>
          <t>QV 38 C976d 1980</t>
        </is>
      </c>
      <c r="C228" t="inlineStr">
        <is>
          <t>0                      QV 0038000C  976d        1980</t>
        </is>
      </c>
      <c r="D228" t="inlineStr">
        <is>
          <t>Drug disposition and pharmacokinetics : with a consideration of pharmacological and clinical relationships / Stephen H. Curry.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Curry, Stephen H.</t>
        </is>
      </c>
      <c r="L228" t="inlineStr">
        <is>
          <t>Oxford ; Boston : Blackwell Scientific, 1980.</t>
        </is>
      </c>
      <c r="M228" t="inlineStr">
        <is>
          <t>1980</t>
        </is>
      </c>
      <c r="N228" t="inlineStr">
        <is>
          <t>3rd ed.</t>
        </is>
      </c>
      <c r="O228" t="inlineStr">
        <is>
          <t>eng</t>
        </is>
      </c>
      <c r="P228" t="inlineStr">
        <is>
          <t>enk</t>
        </is>
      </c>
      <c r="R228" t="inlineStr">
        <is>
          <t xml:space="preserve">QV </t>
        </is>
      </c>
      <c r="S228" t="n">
        <v>9</v>
      </c>
      <c r="T228" t="n">
        <v>9</v>
      </c>
      <c r="U228" t="inlineStr">
        <is>
          <t>1989-11-03</t>
        </is>
      </c>
      <c r="V228" t="inlineStr">
        <is>
          <t>1989-11-03</t>
        </is>
      </c>
      <c r="W228" t="inlineStr">
        <is>
          <t>1988-01-28</t>
        </is>
      </c>
      <c r="X228" t="inlineStr">
        <is>
          <t>1988-01-28</t>
        </is>
      </c>
      <c r="Y228" t="n">
        <v>112</v>
      </c>
      <c r="Z228" t="n">
        <v>67</v>
      </c>
      <c r="AA228" t="n">
        <v>229</v>
      </c>
      <c r="AB228" t="n">
        <v>1</v>
      </c>
      <c r="AC228" t="n">
        <v>1</v>
      </c>
      <c r="AD228" t="n">
        <v>1</v>
      </c>
      <c r="AE228" t="n">
        <v>6</v>
      </c>
      <c r="AF228" t="n">
        <v>1</v>
      </c>
      <c r="AG228" t="n">
        <v>3</v>
      </c>
      <c r="AH228" t="n">
        <v>0</v>
      </c>
      <c r="AI228" t="n">
        <v>3</v>
      </c>
      <c r="AJ228" t="n">
        <v>0</v>
      </c>
      <c r="AK228" t="n">
        <v>2</v>
      </c>
      <c r="AL228" t="n">
        <v>0</v>
      </c>
      <c r="AM228" t="n">
        <v>0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HYPERLINK("https://creighton-primo.hosted.exlibrisgroup.com/primo-explore/search?tab=default_tab&amp;search_scope=EVERYTHING&amp;vid=01CRU&amp;lang=en_US&amp;offset=0&amp;query=any,contains,991001097489702656","Catalog Record")</f>
        <v/>
      </c>
      <c r="AT228">
        <f>HYPERLINK("http://www.worldcat.org/oclc/7736884","WorldCat Record")</f>
        <v/>
      </c>
    </row>
    <row r="229">
      <c r="A229" t="inlineStr">
        <is>
          <t>No</t>
        </is>
      </c>
      <c r="B229" t="inlineStr">
        <is>
          <t>QV 38 D7967f 2001</t>
        </is>
      </c>
      <c r="C229" t="inlineStr">
        <is>
          <t>0                      QV 0038000D  7967f       2001</t>
        </is>
      </c>
      <c r="D229" t="inlineStr">
        <is>
          <t>The forensic pharmacology of drugs of abuse / Olaf H. Drummer ; with a contribution by Morris Odell.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Drummer, Olaf H.</t>
        </is>
      </c>
      <c r="L229" t="inlineStr">
        <is>
          <t>London : Arnold ; New York : Oxford University Press [distributor], 2001.</t>
        </is>
      </c>
      <c r="M229" t="inlineStr">
        <is>
          <t>2001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QV </t>
        </is>
      </c>
      <c r="S229" t="n">
        <v>1</v>
      </c>
      <c r="T229" t="n">
        <v>1</v>
      </c>
      <c r="U229" t="inlineStr">
        <is>
          <t>2003-01-27</t>
        </is>
      </c>
      <c r="V229" t="inlineStr">
        <is>
          <t>2003-01-27</t>
        </is>
      </c>
      <c r="W229" t="inlineStr">
        <is>
          <t>2003-01-24</t>
        </is>
      </c>
      <c r="X229" t="inlineStr">
        <is>
          <t>2003-01-24</t>
        </is>
      </c>
      <c r="Y229" t="n">
        <v>146</v>
      </c>
      <c r="Z229" t="n">
        <v>83</v>
      </c>
      <c r="AA229" t="n">
        <v>88</v>
      </c>
      <c r="AB229" t="n">
        <v>1</v>
      </c>
      <c r="AC229" t="n">
        <v>1</v>
      </c>
      <c r="AD229" t="n">
        <v>5</v>
      </c>
      <c r="AE229" t="n">
        <v>5</v>
      </c>
      <c r="AF229" t="n">
        <v>1</v>
      </c>
      <c r="AG229" t="n">
        <v>1</v>
      </c>
      <c r="AH229" t="n">
        <v>0</v>
      </c>
      <c r="AI229" t="n">
        <v>0</v>
      </c>
      <c r="AJ229" t="n">
        <v>2</v>
      </c>
      <c r="AK229" t="n">
        <v>2</v>
      </c>
      <c r="AL229" t="n">
        <v>0</v>
      </c>
      <c r="AM229" t="n">
        <v>0</v>
      </c>
      <c r="AN229" t="n">
        <v>2</v>
      </c>
      <c r="AO229" t="n">
        <v>2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HYPERLINK("https://creighton-primo.hosted.exlibrisgroup.com/primo-explore/search?tab=default_tab&amp;search_scope=EVERYTHING&amp;vid=01CRU&amp;lang=en_US&amp;offset=0&amp;query=any,contains,991000336329702656","Catalog Record")</f>
        <v/>
      </c>
      <c r="AT229">
        <f>HYPERLINK("http://www.worldcat.org/oclc/48127583","WorldCat Record")</f>
        <v/>
      </c>
    </row>
    <row r="230">
      <c r="A230" t="inlineStr">
        <is>
          <t>No</t>
        </is>
      </c>
      <c r="B230" t="inlineStr">
        <is>
          <t>QV38 E24p 2000</t>
        </is>
      </c>
      <c r="C230" t="inlineStr">
        <is>
          <t>0                      QV 0038000E  24p         2000</t>
        </is>
      </c>
      <c r="D230" t="inlineStr">
        <is>
          <t>Pharmacology for the primary care provider / Marilyn Winterton Edmunds, Maren Stewart Mayhew.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Edmunds, Marilyn W.</t>
        </is>
      </c>
      <c r="L230" t="inlineStr">
        <is>
          <t>St. Louis, Mo. : Mosby, c2000.</t>
        </is>
      </c>
      <c r="M230" t="inlineStr">
        <is>
          <t>2000</t>
        </is>
      </c>
      <c r="O230" t="inlineStr">
        <is>
          <t>eng</t>
        </is>
      </c>
      <c r="P230" t="inlineStr">
        <is>
          <t>mou</t>
        </is>
      </c>
      <c r="R230" t="inlineStr">
        <is>
          <t xml:space="preserve">QV </t>
        </is>
      </c>
      <c r="S230" t="n">
        <v>0</v>
      </c>
      <c r="T230" t="n">
        <v>0</v>
      </c>
      <c r="U230" t="inlineStr">
        <is>
          <t>2002-10-17</t>
        </is>
      </c>
      <c r="V230" t="inlineStr">
        <is>
          <t>2002-10-17</t>
        </is>
      </c>
      <c r="W230" t="inlineStr">
        <is>
          <t>2002-06-26</t>
        </is>
      </c>
      <c r="X230" t="inlineStr">
        <is>
          <t>2002-06-26</t>
        </is>
      </c>
      <c r="Y230" t="n">
        <v>175</v>
      </c>
      <c r="Z230" t="n">
        <v>137</v>
      </c>
      <c r="AA230" t="n">
        <v>388</v>
      </c>
      <c r="AB230" t="n">
        <v>1</v>
      </c>
      <c r="AC230" t="n">
        <v>2</v>
      </c>
      <c r="AD230" t="n">
        <v>5</v>
      </c>
      <c r="AE230" t="n">
        <v>17</v>
      </c>
      <c r="AF230" t="n">
        <v>3</v>
      </c>
      <c r="AG230" t="n">
        <v>9</v>
      </c>
      <c r="AH230" t="n">
        <v>1</v>
      </c>
      <c r="AI230" t="n">
        <v>3</v>
      </c>
      <c r="AJ230" t="n">
        <v>3</v>
      </c>
      <c r="AK230" t="n">
        <v>8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HYPERLINK("http://catalog.hathitrust.org/Record/004068834","HathiTrust Record")</f>
        <v/>
      </c>
      <c r="AS230">
        <f>HYPERLINK("https://creighton-primo.hosted.exlibrisgroup.com/primo-explore/search?tab=default_tab&amp;search_scope=EVERYTHING&amp;vid=01CRU&amp;lang=en_US&amp;offset=0&amp;query=any,contains,991000318459702656","Catalog Record")</f>
        <v/>
      </c>
      <c r="AT230">
        <f>HYPERLINK("http://www.worldcat.org/oclc/42621166","WorldCat Record")</f>
        <v/>
      </c>
    </row>
    <row r="231">
      <c r="A231" t="inlineStr">
        <is>
          <t>No</t>
        </is>
      </c>
      <c r="B231" t="inlineStr">
        <is>
          <t>QV 38 E774 1998</t>
        </is>
      </c>
      <c r="C231" t="inlineStr">
        <is>
          <t>0                      QV 0038000E  774         1998</t>
        </is>
      </c>
      <c r="D231" t="inlineStr">
        <is>
          <t>Essentials of clinical pharmacology in nursing / [edited by] Bradley R. Williams, Charold L. Baer.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Springhouse, Pa. : Springhouse Corp., c1998.</t>
        </is>
      </c>
      <c r="M231" t="inlineStr">
        <is>
          <t>1998</t>
        </is>
      </c>
      <c r="N231" t="inlineStr">
        <is>
          <t>3rd ed.</t>
        </is>
      </c>
      <c r="O231" t="inlineStr">
        <is>
          <t>eng</t>
        </is>
      </c>
      <c r="P231" t="inlineStr">
        <is>
          <t>pau</t>
        </is>
      </c>
      <c r="R231" t="inlineStr">
        <is>
          <t xml:space="preserve">QV </t>
        </is>
      </c>
      <c r="S231" t="n">
        <v>13</v>
      </c>
      <c r="T231" t="n">
        <v>13</v>
      </c>
      <c r="U231" t="inlineStr">
        <is>
          <t>2001-08-07</t>
        </is>
      </c>
      <c r="V231" t="inlineStr">
        <is>
          <t>2001-08-07</t>
        </is>
      </c>
      <c r="W231" t="inlineStr">
        <is>
          <t>1999-11-04</t>
        </is>
      </c>
      <c r="X231" t="inlineStr">
        <is>
          <t>1999-11-04</t>
        </is>
      </c>
      <c r="Y231" t="n">
        <v>110</v>
      </c>
      <c r="Z231" t="n">
        <v>89</v>
      </c>
      <c r="AA231" t="n">
        <v>227</v>
      </c>
      <c r="AB231" t="n">
        <v>1</v>
      </c>
      <c r="AC231" t="n">
        <v>2</v>
      </c>
      <c r="AD231" t="n">
        <v>2</v>
      </c>
      <c r="AE231" t="n">
        <v>7</v>
      </c>
      <c r="AF231" t="n">
        <v>1</v>
      </c>
      <c r="AG231" t="n">
        <v>4</v>
      </c>
      <c r="AH231" t="n">
        <v>0</v>
      </c>
      <c r="AI231" t="n">
        <v>1</v>
      </c>
      <c r="AJ231" t="n">
        <v>1</v>
      </c>
      <c r="AK231" t="n">
        <v>3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HYPERLINK("http://catalog.hathitrust.org/Record/003973057","HathiTrust Record")</f>
        <v/>
      </c>
      <c r="AS231">
        <f>HYPERLINK("https://creighton-primo.hosted.exlibrisgroup.com/primo-explore/search?tab=default_tab&amp;search_scope=EVERYTHING&amp;vid=01CRU&amp;lang=en_US&amp;offset=0&amp;query=any,contains,991000485609702656","Catalog Record")</f>
        <v/>
      </c>
      <c r="AT231">
        <f>HYPERLINK("http://www.worldcat.org/oclc/37513083","WorldCat Record")</f>
        <v/>
      </c>
    </row>
    <row r="232">
      <c r="A232" t="inlineStr">
        <is>
          <t>No</t>
        </is>
      </c>
      <c r="B232" t="inlineStr">
        <is>
          <t>QV 38 E78 1989</t>
        </is>
      </c>
      <c r="C232" t="inlineStr">
        <is>
          <t>0                      QV 0038000E  78          1989</t>
        </is>
      </c>
      <c r="D232" t="inlineStr">
        <is>
          <t>Essentials of pharmacology / [edited by] P. Michael Conn, G.F. Gebhart.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Philadelphia : Davis, c1989.</t>
        </is>
      </c>
      <c r="M232" t="inlineStr">
        <is>
          <t>1989</t>
        </is>
      </c>
      <c r="O232" t="inlineStr">
        <is>
          <t>eng</t>
        </is>
      </c>
      <c r="P232" t="inlineStr">
        <is>
          <t>xxu</t>
        </is>
      </c>
      <c r="Q232" t="inlineStr">
        <is>
          <t>Essentials of medical education series</t>
        </is>
      </c>
      <c r="R232" t="inlineStr">
        <is>
          <t xml:space="preserve">QV </t>
        </is>
      </c>
      <c r="S232" t="n">
        <v>16</v>
      </c>
      <c r="T232" t="n">
        <v>16</v>
      </c>
      <c r="U232" t="inlineStr">
        <is>
          <t>1999-08-08</t>
        </is>
      </c>
      <c r="V232" t="inlineStr">
        <is>
          <t>1999-08-08</t>
        </is>
      </c>
      <c r="W232" t="inlineStr">
        <is>
          <t>1989-11-21</t>
        </is>
      </c>
      <c r="X232" t="inlineStr">
        <is>
          <t>1989-11-21</t>
        </is>
      </c>
      <c r="Y232" t="n">
        <v>88</v>
      </c>
      <c r="Z232" t="n">
        <v>71</v>
      </c>
      <c r="AA232" t="n">
        <v>78</v>
      </c>
      <c r="AB232" t="n">
        <v>1</v>
      </c>
      <c r="AC232" t="n">
        <v>1</v>
      </c>
      <c r="AD232" t="n">
        <v>1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HYPERLINK("http://catalog.hathitrust.org/Record/001537194","HathiTrust Record")</f>
        <v/>
      </c>
      <c r="AS232">
        <f>HYPERLINK("https://creighton-primo.hosted.exlibrisgroup.com/primo-explore/search?tab=default_tab&amp;search_scope=EVERYTHING&amp;vid=01CRU&amp;lang=en_US&amp;offset=0&amp;query=any,contains,991001367009702656","Catalog Record")</f>
        <v/>
      </c>
      <c r="AT232">
        <f>HYPERLINK("http://www.worldcat.org/oclc/19264310","WorldCat Record")</f>
        <v/>
      </c>
    </row>
    <row r="233">
      <c r="A233" t="inlineStr">
        <is>
          <t>No</t>
        </is>
      </c>
      <c r="B233" t="inlineStr">
        <is>
          <t>QV 38 F726 1990</t>
        </is>
      </c>
      <c r="C233" t="inlineStr">
        <is>
          <t>0                      QV 0038000F  726         1990</t>
        </is>
      </c>
      <c r="D233" t="inlineStr">
        <is>
          <t>Formulation factors in adverse reactions / edited by A.T. Florence and E.G. Salole.</t>
        </is>
      </c>
      <c r="E233" t="inlineStr">
        <is>
          <t>V. 1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London ; Boston : Wright, c1990.</t>
        </is>
      </c>
      <c r="M233" t="inlineStr">
        <is>
          <t>1990</t>
        </is>
      </c>
      <c r="O233" t="inlineStr">
        <is>
          <t>eng</t>
        </is>
      </c>
      <c r="P233" t="inlineStr">
        <is>
          <t>enk</t>
        </is>
      </c>
      <c r="Q233" t="inlineStr">
        <is>
          <t>Topics in pharmacy ; v. 1</t>
        </is>
      </c>
      <c r="R233" t="inlineStr">
        <is>
          <t xml:space="preserve">QV </t>
        </is>
      </c>
      <c r="S233" t="n">
        <v>5</v>
      </c>
      <c r="T233" t="n">
        <v>5</v>
      </c>
      <c r="U233" t="inlineStr">
        <is>
          <t>1990-08-14</t>
        </is>
      </c>
      <c r="V233" t="inlineStr">
        <is>
          <t>1990-08-14</t>
        </is>
      </c>
      <c r="W233" t="inlineStr">
        <is>
          <t>1990-08-14</t>
        </is>
      </c>
      <c r="X233" t="inlineStr">
        <is>
          <t>1990-08-14</t>
        </is>
      </c>
      <c r="Y233" t="n">
        <v>19</v>
      </c>
      <c r="Z233" t="n">
        <v>8</v>
      </c>
      <c r="AA233" t="n">
        <v>93</v>
      </c>
      <c r="AB233" t="n">
        <v>1</v>
      </c>
      <c r="AC233" t="n">
        <v>1</v>
      </c>
      <c r="AD233" t="n">
        <v>0</v>
      </c>
      <c r="AE233" t="n">
        <v>5</v>
      </c>
      <c r="AF233" t="n">
        <v>0</v>
      </c>
      <c r="AG233" t="n">
        <v>3</v>
      </c>
      <c r="AH233" t="n">
        <v>0</v>
      </c>
      <c r="AI233" t="n">
        <v>3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HYPERLINK("http://catalog.hathitrust.org/Record/002060430","HathiTrust Record")</f>
        <v/>
      </c>
      <c r="AS233">
        <f>HYPERLINK("https://creighton-primo.hosted.exlibrisgroup.com/primo-explore/search?tab=default_tab&amp;search_scope=EVERYTHING&amp;vid=01CRU&amp;lang=en_US&amp;offset=0&amp;query=any,contains,991001452799702656","Catalog Record")</f>
        <v/>
      </c>
      <c r="AT233">
        <f>HYPERLINK("http://www.worldcat.org/oclc/19399895","WorldCat Record")</f>
        <v/>
      </c>
    </row>
    <row r="234">
      <c r="A234" t="inlineStr">
        <is>
          <t>No</t>
        </is>
      </c>
      <c r="B234" t="inlineStr">
        <is>
          <t>QV 38 G437p 1975</t>
        </is>
      </c>
      <c r="C234" t="inlineStr">
        <is>
          <t>0                      QV 0038000G  437p        1975</t>
        </is>
      </c>
      <c r="D234" t="inlineStr">
        <is>
          <t>Pharmacokinetics / Milo Gibaldi, Donald Perrier.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Gibaldi, Milo.</t>
        </is>
      </c>
      <c r="L234" t="inlineStr">
        <is>
          <t>New York : M. Dekker, c1975.</t>
        </is>
      </c>
      <c r="M234" t="inlineStr">
        <is>
          <t>1975</t>
        </is>
      </c>
      <c r="O234" t="inlineStr">
        <is>
          <t>eng</t>
        </is>
      </c>
      <c r="P234" t="inlineStr">
        <is>
          <t>nyu</t>
        </is>
      </c>
      <c r="Q234" t="inlineStr">
        <is>
          <t>Drugs and the pharmaceutical sciences ; v. 1</t>
        </is>
      </c>
      <c r="R234" t="inlineStr">
        <is>
          <t xml:space="preserve">QV </t>
        </is>
      </c>
      <c r="S234" t="n">
        <v>44</v>
      </c>
      <c r="T234" t="n">
        <v>44</v>
      </c>
      <c r="U234" t="inlineStr">
        <is>
          <t>2003-05-24</t>
        </is>
      </c>
      <c r="V234" t="inlineStr">
        <is>
          <t>2003-05-24</t>
        </is>
      </c>
      <c r="W234" t="inlineStr">
        <is>
          <t>1988-03-02</t>
        </is>
      </c>
      <c r="X234" t="inlineStr">
        <is>
          <t>1988-03-02</t>
        </is>
      </c>
      <c r="Y234" t="n">
        <v>204</v>
      </c>
      <c r="Z234" t="n">
        <v>126</v>
      </c>
      <c r="AA234" t="n">
        <v>257</v>
      </c>
      <c r="AB234" t="n">
        <v>2</v>
      </c>
      <c r="AC234" t="n">
        <v>2</v>
      </c>
      <c r="AD234" t="n">
        <v>3</v>
      </c>
      <c r="AE234" t="n">
        <v>5</v>
      </c>
      <c r="AF234" t="n">
        <v>0</v>
      </c>
      <c r="AG234" t="n">
        <v>2</v>
      </c>
      <c r="AH234" t="n">
        <v>2</v>
      </c>
      <c r="AI234" t="n">
        <v>3</v>
      </c>
      <c r="AJ234" t="n">
        <v>0</v>
      </c>
      <c r="AK234" t="n">
        <v>0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HYPERLINK("http://catalog.hathitrust.org/Record/000685698","HathiTrust Record")</f>
        <v/>
      </c>
      <c r="AS234">
        <f>HYPERLINK("https://creighton-primo.hosted.exlibrisgroup.com/primo-explore/search?tab=default_tab&amp;search_scope=EVERYTHING&amp;vid=01CRU&amp;lang=en_US&amp;offset=0&amp;query=any,contains,991000952139702656","Catalog Record")</f>
        <v/>
      </c>
      <c r="AT234">
        <f>HYPERLINK("http://www.worldcat.org/oclc/1916715","WorldCat Record")</f>
        <v/>
      </c>
    </row>
    <row r="235">
      <c r="A235" t="inlineStr">
        <is>
          <t>No</t>
        </is>
      </c>
      <c r="B235" t="inlineStr">
        <is>
          <t>QV38 G448i 1986</t>
        </is>
      </c>
      <c r="C235" t="inlineStr">
        <is>
          <t>0                      QV 0038000G  448i        1986</t>
        </is>
      </c>
      <c r="D235" t="inlineStr">
        <is>
          <t>Introduction to drug metabolism / G. Gordon Gibson and Paul Skett.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Yes</t>
        </is>
      </c>
      <c r="J235" t="inlineStr">
        <is>
          <t>0</t>
        </is>
      </c>
      <c r="K235" t="inlineStr">
        <is>
          <t>Gibson, G. Gordon.</t>
        </is>
      </c>
      <c r="L235" t="inlineStr">
        <is>
          <t>London ; New York : Chapman and Hall, 1986.</t>
        </is>
      </c>
      <c r="M235" t="inlineStr">
        <is>
          <t>1985</t>
        </is>
      </c>
      <c r="O235" t="inlineStr">
        <is>
          <t>eng</t>
        </is>
      </c>
      <c r="P235" t="inlineStr">
        <is>
          <t>enk</t>
        </is>
      </c>
      <c r="R235" t="inlineStr">
        <is>
          <t xml:space="preserve">QV </t>
        </is>
      </c>
      <c r="S235" t="n">
        <v>12</v>
      </c>
      <c r="T235" t="n">
        <v>12</v>
      </c>
      <c r="U235" t="inlineStr">
        <is>
          <t>2000-11-28</t>
        </is>
      </c>
      <c r="V235" t="inlineStr">
        <is>
          <t>2000-11-28</t>
        </is>
      </c>
      <c r="W235" t="inlineStr">
        <is>
          <t>1987-08-27</t>
        </is>
      </c>
      <c r="X235" t="inlineStr">
        <is>
          <t>1987-08-27</t>
        </is>
      </c>
      <c r="Y235" t="n">
        <v>267</v>
      </c>
      <c r="Z235" t="n">
        <v>171</v>
      </c>
      <c r="AA235" t="n">
        <v>277</v>
      </c>
      <c r="AB235" t="n">
        <v>2</v>
      </c>
      <c r="AC235" t="n">
        <v>2</v>
      </c>
      <c r="AD235" t="n">
        <v>6</v>
      </c>
      <c r="AE235" t="n">
        <v>13</v>
      </c>
      <c r="AF235" t="n">
        <v>3</v>
      </c>
      <c r="AG235" t="n">
        <v>8</v>
      </c>
      <c r="AH235" t="n">
        <v>2</v>
      </c>
      <c r="AI235" t="n">
        <v>3</v>
      </c>
      <c r="AJ235" t="n">
        <v>2</v>
      </c>
      <c r="AK235" t="n">
        <v>6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HYPERLINK("http://catalog.hathitrust.org/Record/000624653","HathiTrust Record")</f>
        <v/>
      </c>
      <c r="AS235">
        <f>HYPERLINK("https://creighton-primo.hosted.exlibrisgroup.com/primo-explore/search?tab=default_tab&amp;search_scope=EVERYTHING&amp;vid=01CRU&amp;lang=en_US&amp;offset=0&amp;query=any,contains,991001486789702656","Catalog Record")</f>
        <v/>
      </c>
      <c r="AT235">
        <f>HYPERLINK("http://www.worldcat.org/oclc/12313526","WorldCat Record")</f>
        <v/>
      </c>
    </row>
    <row r="236">
      <c r="A236" t="inlineStr">
        <is>
          <t>No</t>
        </is>
      </c>
      <c r="B236" t="inlineStr">
        <is>
          <t>QV 38 H2364 1983</t>
        </is>
      </c>
      <c r="C236" t="inlineStr">
        <is>
          <t>0                      QV 0038000H  2364        1983</t>
        </is>
      </c>
      <c r="D236" t="inlineStr">
        <is>
          <t>Handbook of clinical pharmacokinetics / editors, Milo Gibaldi and Laurie Prescott.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New York : ADIS Health Science Press, c1983.</t>
        </is>
      </c>
      <c r="M236" t="inlineStr">
        <is>
          <t>1983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QV </t>
        </is>
      </c>
      <c r="S236" t="n">
        <v>16</v>
      </c>
      <c r="T236" t="n">
        <v>16</v>
      </c>
      <c r="U236" t="inlineStr">
        <is>
          <t>1994-01-20</t>
        </is>
      </c>
      <c r="V236" t="inlineStr">
        <is>
          <t>1994-01-20</t>
        </is>
      </c>
      <c r="W236" t="inlineStr">
        <is>
          <t>1988-01-28</t>
        </is>
      </c>
      <c r="X236" t="inlineStr">
        <is>
          <t>1988-01-28</t>
        </is>
      </c>
      <c r="Y236" t="n">
        <v>138</v>
      </c>
      <c r="Z236" t="n">
        <v>93</v>
      </c>
      <c r="AA236" t="n">
        <v>95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  <c r="AG236" t="n">
        <v>1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HYPERLINK("http://catalog.hathitrust.org/Record/000242473","HathiTrust Record")</f>
        <v/>
      </c>
      <c r="AS236">
        <f>HYPERLINK("https://creighton-primo.hosted.exlibrisgroup.com/primo-explore/search?tab=default_tab&amp;search_scope=EVERYTHING&amp;vid=01CRU&amp;lang=en_US&amp;offset=0&amp;query=any,contains,991000952509702656","Catalog Record")</f>
        <v/>
      </c>
      <c r="AT236">
        <f>HYPERLINK("http://www.worldcat.org/oclc/10273601","WorldCat Record")</f>
        <v/>
      </c>
    </row>
    <row r="237">
      <c r="A237" t="inlineStr">
        <is>
          <t>No</t>
        </is>
      </c>
      <c r="B237" t="inlineStr">
        <is>
          <t>QV 38 H251d 1985</t>
        </is>
      </c>
      <c r="C237" t="inlineStr">
        <is>
          <t>0                      QV 0038000H  251d        1985</t>
        </is>
      </c>
      <c r="D237" t="inlineStr">
        <is>
          <t>Drug interactions : clinical significance of drug-drug interactions / Philip D. Hansten.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Hansten, Philip D.</t>
        </is>
      </c>
      <c r="L237" t="inlineStr">
        <is>
          <t>Philadelphia : Lea &amp; Febiger, c1985.</t>
        </is>
      </c>
      <c r="M237" t="inlineStr">
        <is>
          <t>1985</t>
        </is>
      </c>
      <c r="N237" t="inlineStr">
        <is>
          <t>5th ed.</t>
        </is>
      </c>
      <c r="O237" t="inlineStr">
        <is>
          <t>eng</t>
        </is>
      </c>
      <c r="P237" t="inlineStr">
        <is>
          <t>xxu</t>
        </is>
      </c>
      <c r="R237" t="inlineStr">
        <is>
          <t xml:space="preserve">QV </t>
        </is>
      </c>
      <c r="S237" t="n">
        <v>15</v>
      </c>
      <c r="T237" t="n">
        <v>15</v>
      </c>
      <c r="U237" t="inlineStr">
        <is>
          <t>1992-03-16</t>
        </is>
      </c>
      <c r="V237" t="inlineStr">
        <is>
          <t>1992-03-16</t>
        </is>
      </c>
      <c r="W237" t="inlineStr">
        <is>
          <t>1990-10-16</t>
        </is>
      </c>
      <c r="X237" t="inlineStr">
        <is>
          <t>1990-10-16</t>
        </is>
      </c>
      <c r="Y237" t="n">
        <v>327</v>
      </c>
      <c r="Z237" t="n">
        <v>241</v>
      </c>
      <c r="AA237" t="n">
        <v>321</v>
      </c>
      <c r="AB237" t="n">
        <v>1</v>
      </c>
      <c r="AC237" t="n">
        <v>2</v>
      </c>
      <c r="AD237" t="n">
        <v>4</v>
      </c>
      <c r="AE237" t="n">
        <v>4</v>
      </c>
      <c r="AF237" t="n">
        <v>1</v>
      </c>
      <c r="AG237" t="n">
        <v>1</v>
      </c>
      <c r="AH237" t="n">
        <v>1</v>
      </c>
      <c r="AI237" t="n">
        <v>1</v>
      </c>
      <c r="AJ237" t="n">
        <v>2</v>
      </c>
      <c r="AK237" t="n">
        <v>2</v>
      </c>
      <c r="AL237" t="n">
        <v>0</v>
      </c>
      <c r="AM237" t="n">
        <v>0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HYPERLINK("https://creighton-primo.hosted.exlibrisgroup.com/primo-explore/search?tab=default_tab&amp;search_scope=EVERYTHING&amp;vid=01CRU&amp;lang=en_US&amp;offset=0&amp;query=any,contains,991000747659702656","Catalog Record")</f>
        <v/>
      </c>
      <c r="AT237">
        <f>HYPERLINK("http://www.worldcat.org/oclc/11090172","WorldCat Record")</f>
        <v/>
      </c>
    </row>
    <row r="238">
      <c r="A238" t="inlineStr">
        <is>
          <t>No</t>
        </is>
      </c>
      <c r="B238" t="inlineStr">
        <is>
          <t>QV 38 H917 1993</t>
        </is>
      </c>
      <c r="C238" t="inlineStr">
        <is>
          <t>0                      QV 0038000H  917         1993</t>
        </is>
      </c>
      <c r="D238" t="inlineStr">
        <is>
          <t>Human drug metabolism : from molecular biology to man / edited by Elizabeth H. Jeffery.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L238" t="inlineStr">
        <is>
          <t>Boca Raton : CRC Press, c1993.</t>
        </is>
      </c>
      <c r="M238" t="inlineStr">
        <is>
          <t>1993</t>
        </is>
      </c>
      <c r="O238" t="inlineStr">
        <is>
          <t>eng</t>
        </is>
      </c>
      <c r="P238" t="inlineStr">
        <is>
          <t>flu</t>
        </is>
      </c>
      <c r="Q238" t="inlineStr">
        <is>
          <t>Pharmacology and toxicology</t>
        </is>
      </c>
      <c r="R238" t="inlineStr">
        <is>
          <t xml:space="preserve">QV </t>
        </is>
      </c>
      <c r="S238" t="n">
        <v>5</v>
      </c>
      <c r="T238" t="n">
        <v>5</v>
      </c>
      <c r="U238" t="inlineStr">
        <is>
          <t>2004-08-20</t>
        </is>
      </c>
      <c r="V238" t="inlineStr">
        <is>
          <t>2004-08-20</t>
        </is>
      </c>
      <c r="W238" t="inlineStr">
        <is>
          <t>1993-08-31</t>
        </is>
      </c>
      <c r="X238" t="inlineStr">
        <is>
          <t>1993-08-31</t>
        </is>
      </c>
      <c r="Y238" t="n">
        <v>123</v>
      </c>
      <c r="Z238" t="n">
        <v>82</v>
      </c>
      <c r="AA238" t="n">
        <v>83</v>
      </c>
      <c r="AB238" t="n">
        <v>1</v>
      </c>
      <c r="AC238" t="n">
        <v>1</v>
      </c>
      <c r="AD238" t="n">
        <v>3</v>
      </c>
      <c r="AE238" t="n">
        <v>3</v>
      </c>
      <c r="AF238" t="n">
        <v>2</v>
      </c>
      <c r="AG238" t="n">
        <v>2</v>
      </c>
      <c r="AH238" t="n">
        <v>1</v>
      </c>
      <c r="AI238" t="n">
        <v>1</v>
      </c>
      <c r="AJ238" t="n">
        <v>1</v>
      </c>
      <c r="AK238" t="n">
        <v>1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HYPERLINK("https://creighton-primo.hosted.exlibrisgroup.com/primo-explore/search?tab=default_tab&amp;search_scope=EVERYTHING&amp;vid=01CRU&amp;lang=en_US&amp;offset=0&amp;query=any,contains,991001512099702656","Catalog Record")</f>
        <v/>
      </c>
      <c r="AT238">
        <f>HYPERLINK("http://www.worldcat.org/oclc/26098903","WorldCat Record")</f>
        <v/>
      </c>
    </row>
    <row r="239">
      <c r="A239" t="inlineStr">
        <is>
          <t>No</t>
        </is>
      </c>
      <c r="B239" t="inlineStr">
        <is>
          <t>QV 38 I61 1997</t>
        </is>
      </c>
      <c r="C239" t="inlineStr">
        <is>
          <t>0                      QV 0038000I  61          1997</t>
        </is>
      </c>
      <c r="D239" t="inlineStr">
        <is>
          <t>Integrated pharmacology / by Clive P. Page ... [et al.]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Yes</t>
        </is>
      </c>
      <c r="J239" t="inlineStr">
        <is>
          <t>0</t>
        </is>
      </c>
      <c r="L239" t="inlineStr">
        <is>
          <t>London : Mosby, c1997.</t>
        </is>
      </c>
      <c r="M239" t="inlineStr">
        <is>
          <t>1997</t>
        </is>
      </c>
      <c r="O239" t="inlineStr">
        <is>
          <t>eng</t>
        </is>
      </c>
      <c r="P239" t="inlineStr">
        <is>
          <t>enk</t>
        </is>
      </c>
      <c r="R239" t="inlineStr">
        <is>
          <t xml:space="preserve">QV </t>
        </is>
      </c>
      <c r="S239" t="n">
        <v>29</v>
      </c>
      <c r="T239" t="n">
        <v>29</v>
      </c>
      <c r="U239" t="inlineStr">
        <is>
          <t>2003-11-09</t>
        </is>
      </c>
      <c r="V239" t="inlineStr">
        <is>
          <t>2003-11-09</t>
        </is>
      </c>
      <c r="W239" t="inlineStr">
        <is>
          <t>1997-09-10</t>
        </is>
      </c>
      <c r="X239" t="inlineStr">
        <is>
          <t>1997-09-10</t>
        </is>
      </c>
      <c r="Y239" t="n">
        <v>129</v>
      </c>
      <c r="Z239" t="n">
        <v>57</v>
      </c>
      <c r="AA239" t="n">
        <v>226</v>
      </c>
      <c r="AB239" t="n">
        <v>1</v>
      </c>
      <c r="AC239" t="n">
        <v>1</v>
      </c>
      <c r="AD239" t="n">
        <v>4</v>
      </c>
      <c r="AE239" t="n">
        <v>11</v>
      </c>
      <c r="AF239" t="n">
        <v>2</v>
      </c>
      <c r="AG239" t="n">
        <v>4</v>
      </c>
      <c r="AH239" t="n">
        <v>2</v>
      </c>
      <c r="AI239" t="n">
        <v>3</v>
      </c>
      <c r="AJ239" t="n">
        <v>1</v>
      </c>
      <c r="AK239" t="n">
        <v>5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HYPERLINK("http://catalog.hathitrust.org/Record/003166120","HathiTrust Record")</f>
        <v/>
      </c>
      <c r="AS239">
        <f>HYPERLINK("https://creighton-primo.hosted.exlibrisgroup.com/primo-explore/search?tab=default_tab&amp;search_scope=EVERYTHING&amp;vid=01CRU&amp;lang=en_US&amp;offset=0&amp;query=any,contains,991001559389702656","Catalog Record")</f>
        <v/>
      </c>
      <c r="AT239">
        <f>HYPERLINK("http://www.worldcat.org/oclc/37732035","WorldCat Record")</f>
        <v/>
      </c>
    </row>
    <row r="240">
      <c r="A240" t="inlineStr">
        <is>
          <t>No</t>
        </is>
      </c>
      <c r="B240" t="inlineStr">
        <is>
          <t>QV 38 J54p 2006</t>
        </is>
      </c>
      <c r="C240" t="inlineStr">
        <is>
          <t>0                      QV 0038000J  54p         2006</t>
        </is>
      </c>
      <c r="D240" t="inlineStr">
        <is>
          <t>Pharmacology and drug administration for imaging technologists / Steven C. Jensen, Michael P. Peppers.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Jensen, Steven C.</t>
        </is>
      </c>
      <c r="L240" t="inlineStr">
        <is>
          <t>St. Louis : Mosby/Elsevier, c2006.</t>
        </is>
      </c>
      <c r="M240" t="inlineStr">
        <is>
          <t>2006</t>
        </is>
      </c>
      <c r="N240" t="inlineStr">
        <is>
          <t>2nd ed.</t>
        </is>
      </c>
      <c r="O240" t="inlineStr">
        <is>
          <t>eng</t>
        </is>
      </c>
      <c r="P240" t="inlineStr">
        <is>
          <t>mou</t>
        </is>
      </c>
      <c r="R240" t="inlineStr">
        <is>
          <t xml:space="preserve">QV </t>
        </is>
      </c>
      <c r="S240" t="n">
        <v>1</v>
      </c>
      <c r="T240" t="n">
        <v>1</v>
      </c>
      <c r="U240" t="inlineStr">
        <is>
          <t>2006-11-16</t>
        </is>
      </c>
      <c r="V240" t="inlineStr">
        <is>
          <t>2006-11-16</t>
        </is>
      </c>
      <c r="W240" t="inlineStr">
        <is>
          <t>2006-09-14</t>
        </is>
      </c>
      <c r="X240" t="inlineStr">
        <is>
          <t>2006-09-14</t>
        </is>
      </c>
      <c r="Y240" t="n">
        <v>166</v>
      </c>
      <c r="Z240" t="n">
        <v>133</v>
      </c>
      <c r="AA240" t="n">
        <v>212</v>
      </c>
      <c r="AB240" t="n">
        <v>2</v>
      </c>
      <c r="AC240" t="n">
        <v>2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HYPERLINK("https://creighton-primo.hosted.exlibrisgroup.com/primo-explore/search?tab=default_tab&amp;search_scope=EVERYTHING&amp;vid=01CRU&amp;lang=en_US&amp;offset=0&amp;query=any,contains,991001743169702656","Catalog Record")</f>
        <v/>
      </c>
      <c r="AT240">
        <f>HYPERLINK("http://www.worldcat.org/oclc/62234893","WorldCat Record")</f>
        <v/>
      </c>
    </row>
    <row r="241">
      <c r="A241" t="inlineStr">
        <is>
          <t>No</t>
        </is>
      </c>
      <c r="B241" t="inlineStr">
        <is>
          <t>QV 38 J65 1993</t>
        </is>
      </c>
      <c r="C241" t="inlineStr">
        <is>
          <t>0                      QV 0038000J  65          1993</t>
        </is>
      </c>
      <c r="D241" t="inlineStr">
        <is>
      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Rebus : Distributed by Random House, c1993.</t>
        </is>
      </c>
      <c r="M241" t="inlineStr">
        <is>
          <t>1993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QV </t>
        </is>
      </c>
      <c r="S241" t="n">
        <v>20</v>
      </c>
      <c r="T241" t="n">
        <v>20</v>
      </c>
      <c r="U241" t="inlineStr">
        <is>
          <t>1994-02-28</t>
        </is>
      </c>
      <c r="V241" t="inlineStr">
        <is>
          <t>1994-02-28</t>
        </is>
      </c>
      <c r="W241" t="inlineStr">
        <is>
          <t>1994-02-18</t>
        </is>
      </c>
      <c r="X241" t="inlineStr">
        <is>
          <t>1994-02-18</t>
        </is>
      </c>
      <c r="Y241" t="n">
        <v>208</v>
      </c>
      <c r="Z241" t="n">
        <v>195</v>
      </c>
      <c r="AA241" t="n">
        <v>195</v>
      </c>
      <c r="AB241" t="n">
        <v>2</v>
      </c>
      <c r="AC241" t="n">
        <v>2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1</v>
      </c>
      <c r="AK241" t="n">
        <v>1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HYPERLINK("https://creighton-primo.hosted.exlibrisgroup.com/primo-explore/search?tab=default_tab&amp;search_scope=EVERYTHING&amp;vid=01CRU&amp;lang=en_US&amp;offset=0&amp;query=any,contains,991000552829702656","Catalog Record")</f>
        <v/>
      </c>
      <c r="AT241">
        <f>HYPERLINK("http://www.worldcat.org/oclc/27812393","WorldCat Record")</f>
        <v/>
      </c>
    </row>
    <row r="242">
      <c r="A242" t="inlineStr">
        <is>
          <t>No</t>
        </is>
      </c>
      <c r="B242" t="inlineStr">
        <is>
          <t>QV 38 K33p 1987</t>
        </is>
      </c>
      <c r="C242" t="inlineStr">
        <is>
          <t>0                      QV 0038000K  33p         1987</t>
        </is>
      </c>
      <c r="D242" t="inlineStr">
        <is>
          <t>Pharmacologic analysis of drug-receptor interaction / Terrence P. Kenakin.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Kenakin, Terrence P.</t>
        </is>
      </c>
      <c r="L242" t="inlineStr">
        <is>
          <t>New York : Raven Press, c1987.</t>
        </is>
      </c>
      <c r="M242" t="inlineStr">
        <is>
          <t>1987</t>
        </is>
      </c>
      <c r="O242" t="inlineStr">
        <is>
          <t>eng</t>
        </is>
      </c>
      <c r="P242" t="inlineStr">
        <is>
          <t>xxu</t>
        </is>
      </c>
      <c r="R242" t="inlineStr">
        <is>
          <t xml:space="preserve">QV </t>
        </is>
      </c>
      <c r="S242" t="n">
        <v>51</v>
      </c>
      <c r="T242" t="n">
        <v>51</v>
      </c>
      <c r="U242" t="inlineStr">
        <is>
          <t>2006-10-02</t>
        </is>
      </c>
      <c r="V242" t="inlineStr">
        <is>
          <t>2006-10-02</t>
        </is>
      </c>
      <c r="W242" t="inlineStr">
        <is>
          <t>1987-10-21</t>
        </is>
      </c>
      <c r="X242" t="inlineStr">
        <is>
          <t>1987-10-21</t>
        </is>
      </c>
      <c r="Y242" t="n">
        <v>171</v>
      </c>
      <c r="Z242" t="n">
        <v>110</v>
      </c>
      <c r="AA242" t="n">
        <v>204</v>
      </c>
      <c r="AB242" t="n">
        <v>1</v>
      </c>
      <c r="AC242" t="n">
        <v>2</v>
      </c>
      <c r="AD242" t="n">
        <v>6</v>
      </c>
      <c r="AE242" t="n">
        <v>9</v>
      </c>
      <c r="AF242" t="n">
        <v>1</v>
      </c>
      <c r="AG242" t="n">
        <v>3</v>
      </c>
      <c r="AH242" t="n">
        <v>2</v>
      </c>
      <c r="AI242" t="n">
        <v>2</v>
      </c>
      <c r="AJ242" t="n">
        <v>3</v>
      </c>
      <c r="AK242" t="n">
        <v>4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HYPERLINK("http://catalog.hathitrust.org/Record/000826717","HathiTrust Record")</f>
        <v/>
      </c>
      <c r="AS242">
        <f>HYPERLINK("https://creighton-primo.hosted.exlibrisgroup.com/primo-explore/search?tab=default_tab&amp;search_scope=EVERYTHING&amp;vid=01CRU&amp;lang=en_US&amp;offset=0&amp;query=any,contains,991001528529702656","Catalog Record")</f>
        <v/>
      </c>
      <c r="AT242">
        <f>HYPERLINK("http://www.worldcat.org/oclc/15661034","WorldCat Record")</f>
        <v/>
      </c>
    </row>
    <row r="243">
      <c r="A243" t="inlineStr">
        <is>
          <t>No</t>
        </is>
      </c>
      <c r="B243" t="inlineStr">
        <is>
          <t>QV 38 L379e 1964</t>
        </is>
      </c>
      <c r="C243" t="inlineStr">
        <is>
          <t>0                      QV 0038000L  379e        1964</t>
        </is>
      </c>
      <c r="D243" t="inlineStr">
        <is>
          <t>Evaluation of drug activities : pharmacometrics / edited by D.R. Laurence and A.L. Bacharach.</t>
        </is>
      </c>
      <c r="E243" t="inlineStr">
        <is>
          <t>V. 1</t>
        </is>
      </c>
      <c r="F243" t="inlineStr">
        <is>
          <t>Yes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Laurence, D. R. (Desmond Roger) editor.</t>
        </is>
      </c>
      <c r="L243" t="inlineStr">
        <is>
          <t>London, New York : Academic Press, 1964.</t>
        </is>
      </c>
      <c r="M243" t="inlineStr">
        <is>
          <t>1964</t>
        </is>
      </c>
      <c r="O243" t="inlineStr">
        <is>
          <t>eng</t>
        </is>
      </c>
      <c r="P243" t="inlineStr">
        <is>
          <t>enk</t>
        </is>
      </c>
      <c r="R243" t="inlineStr">
        <is>
          <t xml:space="preserve">QV </t>
        </is>
      </c>
      <c r="S243" t="n">
        <v>2</v>
      </c>
      <c r="T243" t="n">
        <v>5</v>
      </c>
      <c r="U243" t="inlineStr">
        <is>
          <t>1991-04-12</t>
        </is>
      </c>
      <c r="V243" t="inlineStr">
        <is>
          <t>1991-05-08</t>
        </is>
      </c>
      <c r="W243" t="inlineStr">
        <is>
          <t>1988-03-25</t>
        </is>
      </c>
      <c r="X243" t="inlineStr">
        <is>
          <t>1988-03-25</t>
        </is>
      </c>
      <c r="Y243" t="n">
        <v>197</v>
      </c>
      <c r="Z243" t="n">
        <v>126</v>
      </c>
      <c r="AA243" t="n">
        <v>173</v>
      </c>
      <c r="AB243" t="n">
        <v>2</v>
      </c>
      <c r="AC243" t="n">
        <v>2</v>
      </c>
      <c r="AD243" t="n">
        <v>5</v>
      </c>
      <c r="AE243" t="n">
        <v>9</v>
      </c>
      <c r="AF243" t="n">
        <v>2</v>
      </c>
      <c r="AG243" t="n">
        <v>4</v>
      </c>
      <c r="AH243" t="n">
        <v>1</v>
      </c>
      <c r="AI243" t="n">
        <v>3</v>
      </c>
      <c r="AJ243" t="n">
        <v>1</v>
      </c>
      <c r="AK243" t="n">
        <v>2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HYPERLINK("http://catalog.hathitrust.org/Record/001573902","HathiTrust Record")</f>
        <v/>
      </c>
      <c r="AS243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T243">
        <f>HYPERLINK("http://www.worldcat.org/oclc/595025","WorldCat Record")</f>
        <v/>
      </c>
    </row>
    <row r="244">
      <c r="A244" t="inlineStr">
        <is>
          <t>No</t>
        </is>
      </c>
      <c r="B244" t="inlineStr">
        <is>
          <t>QV 38 L379e 1964</t>
        </is>
      </c>
      <c r="C244" t="inlineStr">
        <is>
          <t>0                      QV 0038000L  379e        1964</t>
        </is>
      </c>
      <c r="D244" t="inlineStr">
        <is>
          <t>Evaluation of drug activities : pharmacometrics / edited by D.R. Laurence and A.L. Bacharach.</t>
        </is>
      </c>
      <c r="E244" t="inlineStr">
        <is>
          <t>V. 2</t>
        </is>
      </c>
      <c r="F244" t="inlineStr">
        <is>
          <t>Yes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Laurence, D. R. (Desmond Roger) editor.</t>
        </is>
      </c>
      <c r="L244" t="inlineStr">
        <is>
          <t>London, New York : Academic Press, 1964.</t>
        </is>
      </c>
      <c r="M244" t="inlineStr">
        <is>
          <t>1964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QV </t>
        </is>
      </c>
      <c r="S244" t="n">
        <v>3</v>
      </c>
      <c r="T244" t="n">
        <v>5</v>
      </c>
      <c r="U244" t="inlineStr">
        <is>
          <t>1991-05-08</t>
        </is>
      </c>
      <c r="V244" t="inlineStr">
        <is>
          <t>1991-05-08</t>
        </is>
      </c>
      <c r="W244" t="inlineStr">
        <is>
          <t>1988-03-25</t>
        </is>
      </c>
      <c r="X244" t="inlineStr">
        <is>
          <t>1988-03-25</t>
        </is>
      </c>
      <c r="Y244" t="n">
        <v>197</v>
      </c>
      <c r="Z244" t="n">
        <v>126</v>
      </c>
      <c r="AA244" t="n">
        <v>173</v>
      </c>
      <c r="AB244" t="n">
        <v>2</v>
      </c>
      <c r="AC244" t="n">
        <v>2</v>
      </c>
      <c r="AD244" t="n">
        <v>5</v>
      </c>
      <c r="AE244" t="n">
        <v>9</v>
      </c>
      <c r="AF244" t="n">
        <v>2</v>
      </c>
      <c r="AG244" t="n">
        <v>4</v>
      </c>
      <c r="AH244" t="n">
        <v>1</v>
      </c>
      <c r="AI244" t="n">
        <v>3</v>
      </c>
      <c r="AJ244" t="n">
        <v>1</v>
      </c>
      <c r="AK244" t="n">
        <v>2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HYPERLINK("http://catalog.hathitrust.org/Record/001573902","HathiTrust Record")</f>
        <v/>
      </c>
      <c r="AS244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T244">
        <f>HYPERLINK("http://www.worldcat.org/oclc/595025","WorldCat Record")</f>
        <v/>
      </c>
    </row>
    <row r="245">
      <c r="A245" t="inlineStr">
        <is>
          <t>No</t>
        </is>
      </c>
      <c r="B245" t="inlineStr">
        <is>
          <t>QV 38 L473o 1980 v.2</t>
        </is>
      </c>
      <c r="C245" t="inlineStr">
        <is>
          <t>0                      QV 0038000L  473o        1980                                        v.2</t>
        </is>
      </c>
      <c r="D245" t="inlineStr">
        <is>
          <t>The organic chemistry of drug synthesis : Volume 2 / Daniel Lednicer, Lester A. Mitscher.</t>
        </is>
      </c>
      <c r="E245" t="inlineStr">
        <is>
          <t>V. 2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Lednicer, Daniel, 1929-</t>
        </is>
      </c>
      <c r="L245" t="inlineStr">
        <is>
          <t>New York : Wiley, c1980.</t>
        </is>
      </c>
      <c r="M245" t="inlineStr">
        <is>
          <t>1980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QV </t>
        </is>
      </c>
      <c r="S245" t="n">
        <v>3</v>
      </c>
      <c r="T245" t="n">
        <v>3</v>
      </c>
      <c r="U245" t="inlineStr">
        <is>
          <t>1989-02-24</t>
        </is>
      </c>
      <c r="V245" t="inlineStr">
        <is>
          <t>1989-02-24</t>
        </is>
      </c>
      <c r="W245" t="inlineStr">
        <is>
          <t>1988-01-28</t>
        </is>
      </c>
      <c r="X245" t="inlineStr">
        <is>
          <t>1988-01-28</t>
        </is>
      </c>
      <c r="Y245" t="n">
        <v>712</v>
      </c>
      <c r="Z245" t="n">
        <v>591</v>
      </c>
      <c r="AA245" t="n">
        <v>598</v>
      </c>
      <c r="AB245" t="n">
        <v>4</v>
      </c>
      <c r="AC245" t="n">
        <v>4</v>
      </c>
      <c r="AD245" t="n">
        <v>21</v>
      </c>
      <c r="AE245" t="n">
        <v>21</v>
      </c>
      <c r="AF245" t="n">
        <v>9</v>
      </c>
      <c r="AG245" t="n">
        <v>9</v>
      </c>
      <c r="AH245" t="n">
        <v>4</v>
      </c>
      <c r="AI245" t="n">
        <v>4</v>
      </c>
      <c r="AJ245" t="n">
        <v>11</v>
      </c>
      <c r="AK245" t="n">
        <v>11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HYPERLINK("http://catalog.hathitrust.org/Record/000738011","HathiTrust Record")</f>
        <v/>
      </c>
      <c r="AS245">
        <f>HYPERLINK("https://creighton-primo.hosted.exlibrisgroup.com/primo-explore/search?tab=default_tab&amp;search_scope=EVERYTHING&amp;vid=01CRU&amp;lang=en_US&amp;offset=0&amp;query=any,contains,991000952429702656","Catalog Record")</f>
        <v/>
      </c>
      <c r="AT245">
        <f>HYPERLINK("http://www.worldcat.org/oclc/2388302","WorldCat Record")</f>
        <v/>
      </c>
    </row>
    <row r="246">
      <c r="A246" t="inlineStr">
        <is>
          <t>No</t>
        </is>
      </c>
      <c r="B246" t="inlineStr">
        <is>
          <t>QV 38 L665 1983</t>
        </is>
      </c>
      <c r="C246" t="inlineStr">
        <is>
          <t>0                      QV 0038000L  665         1983</t>
        </is>
      </c>
      <c r="D246" t="inlineStr">
        <is>
          <t>Pharmacology : drug actions and reactions / Ruth R. Levine ; foreword by Byron B. Clark.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Levine, Ruth R.</t>
        </is>
      </c>
      <c r="L246" t="inlineStr">
        <is>
          <t>Boston, Mass. : Little, Brown, c1983.</t>
        </is>
      </c>
      <c r="M246" t="inlineStr">
        <is>
          <t>1983</t>
        </is>
      </c>
      <c r="N246" t="inlineStr">
        <is>
          <t>3rd ed.</t>
        </is>
      </c>
      <c r="O246" t="inlineStr">
        <is>
          <t>eng</t>
        </is>
      </c>
      <c r="P246" t="inlineStr">
        <is>
          <t>mau</t>
        </is>
      </c>
      <c r="R246" t="inlineStr">
        <is>
          <t xml:space="preserve">QV </t>
        </is>
      </c>
      <c r="S246" t="n">
        <v>3</v>
      </c>
      <c r="T246" t="n">
        <v>3</v>
      </c>
      <c r="U246" t="inlineStr">
        <is>
          <t>2003-06-30</t>
        </is>
      </c>
      <c r="V246" t="inlineStr">
        <is>
          <t>2003-06-30</t>
        </is>
      </c>
      <c r="W246" t="inlineStr">
        <is>
          <t>1988-12-28</t>
        </is>
      </c>
      <c r="X246" t="inlineStr">
        <is>
          <t>1988-12-28</t>
        </is>
      </c>
      <c r="Y246" t="n">
        <v>159</v>
      </c>
      <c r="Z246" t="n">
        <v>123</v>
      </c>
      <c r="AA246" t="n">
        <v>408</v>
      </c>
      <c r="AB246" t="n">
        <v>1</v>
      </c>
      <c r="AC246" t="n">
        <v>1</v>
      </c>
      <c r="AD246" t="n">
        <v>3</v>
      </c>
      <c r="AE246" t="n">
        <v>9</v>
      </c>
      <c r="AF246" t="n">
        <v>0</v>
      </c>
      <c r="AG246" t="n">
        <v>3</v>
      </c>
      <c r="AH246" t="n">
        <v>2</v>
      </c>
      <c r="AI246" t="n">
        <v>4</v>
      </c>
      <c r="AJ246" t="n">
        <v>2</v>
      </c>
      <c r="AK246" t="n">
        <v>5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HYPERLINK("http://catalog.hathitrust.org/Record/000243434","HathiTrust Record")</f>
        <v/>
      </c>
      <c r="AS246">
        <f>HYPERLINK("https://creighton-primo.hosted.exlibrisgroup.com/primo-explore/search?tab=default_tab&amp;search_scope=EVERYTHING&amp;vid=01CRU&amp;lang=en_US&amp;offset=0&amp;query=any,contains,991000952389702656","Catalog Record")</f>
        <v/>
      </c>
      <c r="AT246">
        <f>HYPERLINK("http://www.worldcat.org/oclc/9729530","WorldCat Record")</f>
        <v/>
      </c>
    </row>
    <row r="247">
      <c r="A247" t="inlineStr">
        <is>
          <t>No</t>
        </is>
      </c>
      <c r="B247" t="inlineStr">
        <is>
          <t>QV38 L665p 2005</t>
        </is>
      </c>
      <c r="C247" t="inlineStr">
        <is>
          <t>0                      QV 0038000L  665p        2005</t>
        </is>
      </c>
      <c r="D247" t="inlineStr">
        <is>
          <t>Levine's pharmacology : drug actions and reactions.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Walsh, Carol T.</t>
        </is>
      </c>
      <c r="L247" t="inlineStr">
        <is>
          <t>London : Taylor &amp; Francis, 2005.</t>
        </is>
      </c>
      <c r="M247" t="inlineStr">
        <is>
          <t>2005</t>
        </is>
      </c>
      <c r="N247" t="inlineStr">
        <is>
          <t>7th ed. / Carol T. Walsh, Rochelle D. Schwarz-Bloom.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QV </t>
        </is>
      </c>
      <c r="S247" t="n">
        <v>2</v>
      </c>
      <c r="T247" t="n">
        <v>2</v>
      </c>
      <c r="U247" t="inlineStr">
        <is>
          <t>2006-06-25</t>
        </is>
      </c>
      <c r="V247" t="inlineStr">
        <is>
          <t>2006-06-25</t>
        </is>
      </c>
      <c r="W247" t="inlineStr">
        <is>
          <t>2005-02-03</t>
        </is>
      </c>
      <c r="X247" t="inlineStr">
        <is>
          <t>2005-02-03</t>
        </is>
      </c>
      <c r="Y247" t="n">
        <v>186</v>
      </c>
      <c r="Z247" t="n">
        <v>120</v>
      </c>
      <c r="AA247" t="n">
        <v>223</v>
      </c>
      <c r="AB247" t="n">
        <v>3</v>
      </c>
      <c r="AC247" t="n">
        <v>3</v>
      </c>
      <c r="AD247" t="n">
        <v>6</v>
      </c>
      <c r="AE247" t="n">
        <v>8</v>
      </c>
      <c r="AF247" t="n">
        <v>3</v>
      </c>
      <c r="AG247" t="n">
        <v>4</v>
      </c>
      <c r="AH247" t="n">
        <v>1</v>
      </c>
      <c r="AI247" t="n">
        <v>2</v>
      </c>
      <c r="AJ247" t="n">
        <v>2</v>
      </c>
      <c r="AK247" t="n">
        <v>3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HYPERLINK("https://creighton-primo.hosted.exlibrisgroup.com/primo-explore/search?tab=default_tab&amp;search_scope=EVERYTHING&amp;vid=01CRU&amp;lang=en_US&amp;offset=0&amp;query=any,contains,991000425919702656","Catalog Record")</f>
        <v/>
      </c>
      <c r="AT247">
        <f>HYPERLINK("http://www.worldcat.org/oclc/57256484","WorldCat Record")</f>
        <v/>
      </c>
    </row>
    <row r="248">
      <c r="A248" t="inlineStr">
        <is>
          <t>No</t>
        </is>
      </c>
      <c r="B248" t="inlineStr">
        <is>
          <t>QV38 M592 1976 PT. 2</t>
        </is>
      </c>
      <c r="C248" t="inlineStr">
        <is>
          <t>0                      QV 0038000M  592         1976                                        PT. 2</t>
        </is>
      </c>
      <c r="D248" t="inlineStr">
        <is>
          <t>Methods in receptor research / edited by Melvin Blecher.</t>
        </is>
      </c>
      <c r="E248" t="inlineStr">
        <is>
          <t>PT. 2*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New York : M. Dekker, 1976-</t>
        </is>
      </c>
      <c r="M248" t="inlineStr">
        <is>
          <t>1976</t>
        </is>
      </c>
      <c r="O248" t="inlineStr">
        <is>
          <t>eng</t>
        </is>
      </c>
      <c r="P248" t="inlineStr">
        <is>
          <t>nyu</t>
        </is>
      </c>
      <c r="Q248" t="inlineStr">
        <is>
          <t>Methods in molecular biology ; v. 9</t>
        </is>
      </c>
      <c r="R248" t="inlineStr">
        <is>
          <t xml:space="preserve">QV </t>
        </is>
      </c>
      <c r="S248" t="n">
        <v>5</v>
      </c>
      <c r="T248" t="n">
        <v>8</v>
      </c>
      <c r="U248" t="inlineStr">
        <is>
          <t>2002-04-08</t>
        </is>
      </c>
      <c r="V248" t="inlineStr">
        <is>
          <t>2002-04-08</t>
        </is>
      </c>
      <c r="W248" t="inlineStr">
        <is>
          <t>1991-03-05</t>
        </is>
      </c>
      <c r="X248" t="inlineStr">
        <is>
          <t>1991-03-05</t>
        </is>
      </c>
      <c r="Y248" t="n">
        <v>228</v>
      </c>
      <c r="Z248" t="n">
        <v>174</v>
      </c>
      <c r="AA248" t="n">
        <v>182</v>
      </c>
      <c r="AB248" t="n">
        <v>2</v>
      </c>
      <c r="AC248" t="n">
        <v>2</v>
      </c>
      <c r="AD248" t="n">
        <v>6</v>
      </c>
      <c r="AE248" t="n">
        <v>6</v>
      </c>
      <c r="AF248" t="n">
        <v>1</v>
      </c>
      <c r="AG248" t="n">
        <v>1</v>
      </c>
      <c r="AH248" t="n">
        <v>2</v>
      </c>
      <c r="AI248" t="n">
        <v>2</v>
      </c>
      <c r="AJ248" t="n">
        <v>3</v>
      </c>
      <c r="AK248" t="n">
        <v>3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HYPERLINK("http://catalog.hathitrust.org/Record/000734426","HathiTrust Record")</f>
        <v/>
      </c>
      <c r="AS248">
        <f>HYPERLINK("https://creighton-primo.hosted.exlibrisgroup.com/primo-explore/search?tab=default_tab&amp;search_scope=EVERYTHING&amp;vid=01CRU&amp;lang=en_US&amp;offset=0&amp;query=any,contains,991000952349702656","Catalog Record")</f>
        <v/>
      </c>
      <c r="AT248">
        <f>HYPERLINK("http://www.worldcat.org/oclc/2437968","WorldCat Record")</f>
        <v/>
      </c>
    </row>
    <row r="249">
      <c r="A249" t="inlineStr">
        <is>
          <t>No</t>
        </is>
      </c>
      <c r="B249" t="inlineStr">
        <is>
          <t>QV 38 M612s 1952</t>
        </is>
      </c>
      <c r="C249" t="inlineStr">
        <is>
          <t>0                      QV 0038000M  612s        1952</t>
        </is>
      </c>
      <c r="D249" t="inlineStr">
        <is>
          <t>Side effects of drugs / Translated by Ph. Vuijsje and W. Mulhall Corbet.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Meyler, L.</t>
        </is>
      </c>
      <c r="L249" t="inlineStr">
        <is>
          <t>Amsterdam ; Houston : Elsevier Pub. Co., c1952.</t>
        </is>
      </c>
      <c r="M249" t="inlineStr">
        <is>
          <t>1952</t>
        </is>
      </c>
      <c r="O249" t="inlineStr">
        <is>
          <t>eng</t>
        </is>
      </c>
      <c r="P249" t="inlineStr">
        <is>
          <t xml:space="preserve">ne </t>
        </is>
      </c>
      <c r="R249" t="inlineStr">
        <is>
          <t xml:space="preserve">QV </t>
        </is>
      </c>
      <c r="S249" t="n">
        <v>4</v>
      </c>
      <c r="T249" t="n">
        <v>4</v>
      </c>
      <c r="U249" t="inlineStr">
        <is>
          <t>1991-10-29</t>
        </is>
      </c>
      <c r="V249" t="inlineStr">
        <is>
          <t>1991-10-29</t>
        </is>
      </c>
      <c r="W249" t="inlineStr">
        <is>
          <t>1988-01-28</t>
        </is>
      </c>
      <c r="X249" t="inlineStr">
        <is>
          <t>1988-01-28</t>
        </is>
      </c>
      <c r="Y249" t="n">
        <v>108</v>
      </c>
      <c r="Z249" t="n">
        <v>81</v>
      </c>
      <c r="AA249" t="n">
        <v>81</v>
      </c>
      <c r="AB249" t="n">
        <v>1</v>
      </c>
      <c r="AC249" t="n">
        <v>1</v>
      </c>
      <c r="AD249" t="n">
        <v>2</v>
      </c>
      <c r="AE249" t="n">
        <v>2</v>
      </c>
      <c r="AF249" t="n">
        <v>1</v>
      </c>
      <c r="AG249" t="n">
        <v>1</v>
      </c>
      <c r="AH249" t="n">
        <v>1</v>
      </c>
      <c r="AI249" t="n">
        <v>1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HYPERLINK("https://creighton-primo.hosted.exlibrisgroup.com/primo-explore/search?tab=default_tab&amp;search_scope=EVERYTHING&amp;vid=01CRU&amp;lang=en_US&amp;offset=0&amp;query=any,contains,991000952959702656","Catalog Record")</f>
        <v/>
      </c>
      <c r="AT249">
        <f>HYPERLINK("http://www.worldcat.org/oclc/4732796","WorldCat Record")</f>
        <v/>
      </c>
    </row>
    <row r="250">
      <c r="A250" t="inlineStr">
        <is>
          <t>No</t>
        </is>
      </c>
      <c r="B250" t="inlineStr">
        <is>
          <t>QV 38 M613t 1985</t>
        </is>
      </c>
      <c r="C250" t="inlineStr">
        <is>
          <t>0                      QV 0038000M  613t        1985</t>
        </is>
      </c>
      <c r="D250" t="inlineStr">
        <is>
          <t>The therapeutic equivalence of drug products : a second look / Marvin C. Meyer.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Meyer, Marvin C.</t>
        </is>
      </c>
      <c r="L250" t="inlineStr">
        <is>
          <t>[Chattanooga, Tenn.] : University of Tennessee, Center for the Health Sciences, College of Pharmacy, [1985]</t>
        </is>
      </c>
      <c r="M250" t="inlineStr">
        <is>
          <t>1985</t>
        </is>
      </c>
      <c r="O250" t="inlineStr">
        <is>
          <t>eng</t>
        </is>
      </c>
      <c r="P250" t="inlineStr">
        <is>
          <t>tnu</t>
        </is>
      </c>
      <c r="R250" t="inlineStr">
        <is>
          <t xml:space="preserve">QV </t>
        </is>
      </c>
      <c r="S250" t="n">
        <v>3</v>
      </c>
      <c r="T250" t="n">
        <v>3</v>
      </c>
      <c r="U250" t="inlineStr">
        <is>
          <t>1993-03-23</t>
        </is>
      </c>
      <c r="V250" t="inlineStr">
        <is>
          <t>1993-03-23</t>
        </is>
      </c>
      <c r="W250" t="inlineStr">
        <is>
          <t>1988-01-28</t>
        </is>
      </c>
      <c r="X250" t="inlineStr">
        <is>
          <t>1988-01-28</t>
        </is>
      </c>
      <c r="Y250" t="n">
        <v>24</v>
      </c>
      <c r="Z250" t="n">
        <v>24</v>
      </c>
      <c r="AA250" t="n">
        <v>24</v>
      </c>
      <c r="AB250" t="n">
        <v>1</v>
      </c>
      <c r="AC250" t="n">
        <v>1</v>
      </c>
      <c r="AD250" t="n">
        <v>3</v>
      </c>
      <c r="AE250" t="n">
        <v>3</v>
      </c>
      <c r="AF250" t="n">
        <v>2</v>
      </c>
      <c r="AG250" t="n">
        <v>2</v>
      </c>
      <c r="AH250" t="n">
        <v>1</v>
      </c>
      <c r="AI250" t="n">
        <v>1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HYPERLINK("https://creighton-primo.hosted.exlibrisgroup.com/primo-explore/search?tab=default_tab&amp;search_scope=EVERYTHING&amp;vid=01CRU&amp;lang=en_US&amp;offset=0&amp;query=any,contains,991000952929702656","Catalog Record")</f>
        <v/>
      </c>
      <c r="AT250">
        <f>HYPERLINK("http://www.worldcat.org/oclc/12831981","WorldCat Record")</f>
        <v/>
      </c>
    </row>
    <row r="251">
      <c r="A251" t="inlineStr">
        <is>
          <t>No</t>
        </is>
      </c>
      <c r="B251" t="inlineStr">
        <is>
          <t>QV 38 MO167T 1976 v.9</t>
        </is>
      </c>
      <c r="C251" t="inlineStr">
        <is>
          <t>0                      QV 0038000MO 167T        1976                                        v.9</t>
        </is>
      </c>
      <c r="D251" t="inlineStr">
        <is>
          <t>Hormone-receptor interaction : molecular aspects / edited by Gerald S. Levey.</t>
        </is>
      </c>
      <c r="E251" t="inlineStr">
        <is>
          <t>V. 9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Dekker, c1976.</t>
        </is>
      </c>
      <c r="M251" t="inlineStr">
        <is>
          <t>1976</t>
        </is>
      </c>
      <c r="O251" t="inlineStr">
        <is>
          <t>eng</t>
        </is>
      </c>
      <c r="P251" t="inlineStr">
        <is>
          <t>nyu</t>
        </is>
      </c>
      <c r="Q251" t="inlineStr">
        <is>
          <t>Modern pharmacology-toxicology ; v. 9</t>
        </is>
      </c>
      <c r="R251" t="inlineStr">
        <is>
          <t xml:space="preserve">QV </t>
        </is>
      </c>
      <c r="S251" t="n">
        <v>2</v>
      </c>
      <c r="T251" t="n">
        <v>2</v>
      </c>
      <c r="U251" t="inlineStr">
        <is>
          <t>1993-03-01</t>
        </is>
      </c>
      <c r="V251" t="inlineStr">
        <is>
          <t>1993-03-01</t>
        </is>
      </c>
      <c r="W251" t="inlineStr">
        <is>
          <t>1988-02-04</t>
        </is>
      </c>
      <c r="X251" t="inlineStr">
        <is>
          <t>1988-02-04</t>
        </is>
      </c>
      <c r="Y251" t="n">
        <v>185</v>
      </c>
      <c r="Z251" t="n">
        <v>139</v>
      </c>
      <c r="AA251" t="n">
        <v>141</v>
      </c>
      <c r="AB251" t="n">
        <v>2</v>
      </c>
      <c r="AC251" t="n">
        <v>2</v>
      </c>
      <c r="AD251" t="n">
        <v>4</v>
      </c>
      <c r="AE251" t="n">
        <v>4</v>
      </c>
      <c r="AF251" t="n">
        <v>1</v>
      </c>
      <c r="AG251" t="n">
        <v>1</v>
      </c>
      <c r="AH251" t="n">
        <v>0</v>
      </c>
      <c r="AI251" t="n">
        <v>0</v>
      </c>
      <c r="AJ251" t="n">
        <v>2</v>
      </c>
      <c r="AK251" t="n">
        <v>2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HYPERLINK("http://catalog.hathitrust.org/Record/000027971","HathiTrust Record")</f>
        <v/>
      </c>
      <c r="AS251">
        <f>HYPERLINK("https://creighton-primo.hosted.exlibrisgroup.com/primo-explore/search?tab=default_tab&amp;search_scope=EVERYTHING&amp;vid=01CRU&amp;lang=en_US&amp;offset=0&amp;query=any,contains,991000952869702656","Catalog Record")</f>
        <v/>
      </c>
      <c r="AT251">
        <f>HYPERLINK("http://www.worldcat.org/oclc/2586624","WorldCat Record")</f>
        <v/>
      </c>
    </row>
    <row r="252">
      <c r="A252" t="inlineStr">
        <is>
          <t>No</t>
        </is>
      </c>
      <c r="B252" t="inlineStr">
        <is>
          <t>QV 38 MO167T 1978 v.11</t>
        </is>
      </c>
      <c r="C252" t="inlineStr">
        <is>
          <t>0                      QV 0038000MO 167T        1978                                        v.11</t>
        </is>
      </c>
      <c r="D252" t="inlineStr">
        <is>
          <t>Receptors in pharmacology / [edited by] John R. Smythies, Ronald J. Bradley.</t>
        </is>
      </c>
      <c r="E252" t="inlineStr">
        <is>
          <t>V.11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New York : Dekker, c1978.</t>
        </is>
      </c>
      <c r="M252" t="inlineStr">
        <is>
          <t>1978</t>
        </is>
      </c>
      <c r="O252" t="inlineStr">
        <is>
          <t>eng</t>
        </is>
      </c>
      <c r="P252" t="inlineStr">
        <is>
          <t>nyu</t>
        </is>
      </c>
      <c r="Q252" t="inlineStr">
        <is>
          <t>Modern pharmacology-toxicology ; v. 11</t>
        </is>
      </c>
      <c r="R252" t="inlineStr">
        <is>
          <t xml:space="preserve">QV </t>
        </is>
      </c>
      <c r="S252" t="n">
        <v>17</v>
      </c>
      <c r="T252" t="n">
        <v>17</v>
      </c>
      <c r="U252" t="inlineStr">
        <is>
          <t>2008-05-25</t>
        </is>
      </c>
      <c r="V252" t="inlineStr">
        <is>
          <t>2008-05-25</t>
        </is>
      </c>
      <c r="W252" t="inlineStr">
        <is>
          <t>1988-02-04</t>
        </is>
      </c>
      <c r="X252" t="inlineStr">
        <is>
          <t>1988-02-04</t>
        </is>
      </c>
      <c r="Y252" t="n">
        <v>189</v>
      </c>
      <c r="Z252" t="n">
        <v>131</v>
      </c>
      <c r="AA252" t="n">
        <v>132</v>
      </c>
      <c r="AB252" t="n">
        <v>2</v>
      </c>
      <c r="AC252" t="n">
        <v>2</v>
      </c>
      <c r="AD252" t="n">
        <v>3</v>
      </c>
      <c r="AE252" t="n">
        <v>3</v>
      </c>
      <c r="AF252" t="n">
        <v>1</v>
      </c>
      <c r="AG252" t="n">
        <v>1</v>
      </c>
      <c r="AH252" t="n">
        <v>1</v>
      </c>
      <c r="AI252" t="n">
        <v>1</v>
      </c>
      <c r="AJ252" t="n">
        <v>0</v>
      </c>
      <c r="AK252" t="n">
        <v>0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HYPERLINK("http://catalog.hathitrust.org/Record/000088743","HathiTrust Record")</f>
        <v/>
      </c>
      <c r="AS252">
        <f>HYPERLINK("https://creighton-primo.hosted.exlibrisgroup.com/primo-explore/search?tab=default_tab&amp;search_scope=EVERYTHING&amp;vid=01CRU&amp;lang=en_US&amp;offset=0&amp;query=any,contains,991000952829702656","Catalog Record")</f>
        <v/>
      </c>
      <c r="AT252">
        <f>HYPERLINK("http://www.worldcat.org/oclc/3517612","WorldCat Record")</f>
        <v/>
      </c>
    </row>
    <row r="253">
      <c r="A253" t="inlineStr">
        <is>
          <t>No</t>
        </is>
      </c>
      <c r="B253" t="inlineStr">
        <is>
          <t>QV 38 MO167T 1982 v.20</t>
        </is>
      </c>
      <c r="C253" t="inlineStr">
        <is>
          <t>0                      QV 0038000MO 167T        1982                                        v.20</t>
        </is>
      </c>
      <c r="D253" t="inlineStr">
        <is>
          <t>Endorphins : chemistry, physiology, pharmacology, and clinical relevance / edited by Jeffrey B. Malick, Robert M.S. Bell.</t>
        </is>
      </c>
      <c r="E253" t="inlineStr">
        <is>
          <t>V. 20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New York : Dekker, c1982.</t>
        </is>
      </c>
      <c r="M253" t="inlineStr">
        <is>
          <t>1982</t>
        </is>
      </c>
      <c r="O253" t="inlineStr">
        <is>
          <t>eng</t>
        </is>
      </c>
      <c r="P253" t="inlineStr">
        <is>
          <t>xxu</t>
        </is>
      </c>
      <c r="Q253" t="inlineStr">
        <is>
          <t>Modern pharmacology-toxicology ; v. 20</t>
        </is>
      </c>
      <c r="R253" t="inlineStr">
        <is>
          <t xml:space="preserve">QV </t>
        </is>
      </c>
      <c r="S253" t="n">
        <v>8</v>
      </c>
      <c r="T253" t="n">
        <v>8</v>
      </c>
      <c r="U253" t="inlineStr">
        <is>
          <t>1991-06-17</t>
        </is>
      </c>
      <c r="V253" t="inlineStr">
        <is>
          <t>1991-06-17</t>
        </is>
      </c>
      <c r="W253" t="inlineStr">
        <is>
          <t>1987-09-28</t>
        </is>
      </c>
      <c r="X253" t="inlineStr">
        <is>
          <t>1987-09-28</t>
        </is>
      </c>
      <c r="Y253" t="n">
        <v>236</v>
      </c>
      <c r="Z253" t="n">
        <v>179</v>
      </c>
      <c r="AA253" t="n">
        <v>181</v>
      </c>
      <c r="AB253" t="n">
        <v>1</v>
      </c>
      <c r="AC253" t="n">
        <v>1</v>
      </c>
      <c r="AD253" t="n">
        <v>6</v>
      </c>
      <c r="AE253" t="n">
        <v>6</v>
      </c>
      <c r="AF253" t="n">
        <v>1</v>
      </c>
      <c r="AG253" t="n">
        <v>1</v>
      </c>
      <c r="AH253" t="n">
        <v>2</v>
      </c>
      <c r="AI253" t="n">
        <v>2</v>
      </c>
      <c r="AJ253" t="n">
        <v>5</v>
      </c>
      <c r="AK253" t="n">
        <v>5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HYPERLINK("http://catalog.hathitrust.org/Record/000766258","HathiTrust Record")</f>
        <v/>
      </c>
      <c r="AS253">
        <f>HYPERLINK("https://creighton-primo.hosted.exlibrisgroup.com/primo-explore/search?tab=default_tab&amp;search_scope=EVERYTHING&amp;vid=01CRU&amp;lang=en_US&amp;offset=0&amp;query=any,contains,991000747689702656","Catalog Record")</f>
        <v/>
      </c>
      <c r="AT253">
        <f>HYPERLINK("http://www.worldcat.org/oclc/8169519","WorldCat Record")</f>
        <v/>
      </c>
    </row>
    <row r="254">
      <c r="A254" t="inlineStr">
        <is>
          <t>No</t>
        </is>
      </c>
      <c r="B254" t="inlineStr">
        <is>
          <t>QV 38 N812 1994</t>
        </is>
      </c>
      <c r="C254" t="inlineStr">
        <is>
          <t>0                      QV 0038000N  812         1994</t>
        </is>
      </c>
      <c r="D254" t="inlineStr">
        <is>
          <t>Noncompliance with medications : an economic tragedy with important implications for health care reform : a report / by The Task Force for Compliance.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Baltimore, Md. : The Task Force for Compliance, 1994</t>
        </is>
      </c>
      <c r="M254" t="inlineStr">
        <is>
          <t>1994</t>
        </is>
      </c>
      <c r="O254" t="inlineStr">
        <is>
          <t>eng</t>
        </is>
      </c>
      <c r="P254" t="inlineStr">
        <is>
          <t>mdu</t>
        </is>
      </c>
      <c r="R254" t="inlineStr">
        <is>
          <t xml:space="preserve">QV </t>
        </is>
      </c>
      <c r="S254" t="n">
        <v>25</v>
      </c>
      <c r="T254" t="n">
        <v>25</v>
      </c>
      <c r="U254" t="inlineStr">
        <is>
          <t>2009-07-31</t>
        </is>
      </c>
      <c r="V254" t="inlineStr">
        <is>
          <t>2009-07-31</t>
        </is>
      </c>
      <c r="W254" t="inlineStr">
        <is>
          <t>1995-02-28</t>
        </is>
      </c>
      <c r="X254" t="inlineStr">
        <is>
          <t>1995-02-28</t>
        </is>
      </c>
      <c r="Y254" t="n">
        <v>10</v>
      </c>
      <c r="Z254" t="n">
        <v>10</v>
      </c>
      <c r="AA254" t="n">
        <v>12</v>
      </c>
      <c r="AB254" t="n">
        <v>1</v>
      </c>
      <c r="AC254" t="n">
        <v>1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HYPERLINK("http://catalog.hathitrust.org/Record/002966645","HathiTrust Record")</f>
        <v/>
      </c>
      <c r="AS254">
        <f>HYPERLINK("https://creighton-primo.hosted.exlibrisgroup.com/primo-explore/search?tab=default_tab&amp;search_scope=EVERYTHING&amp;vid=01CRU&amp;lang=en_US&amp;offset=0&amp;query=any,contains,991000687609702656","Catalog Record")</f>
        <v/>
      </c>
      <c r="AT254">
        <f>HYPERLINK("http://www.worldcat.org/oclc/31594309","WorldCat Record")</f>
        <v/>
      </c>
    </row>
    <row r="255">
      <c r="A255" t="inlineStr">
        <is>
          <t>No</t>
        </is>
      </c>
      <c r="B255" t="inlineStr">
        <is>
          <t>QV 38 P5315 1991</t>
        </is>
      </c>
      <c r="C255" t="inlineStr">
        <is>
          <t>0                      QV 0038000P  5315        1991</t>
        </is>
      </c>
      <c r="D255" t="inlineStr">
        <is>
          <t>Pharmaceutical bioequivalence / edited by Peter G. Welling, Francis L.S. Tse, Shrikant V. Dighe.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Dekker, c1991.</t>
        </is>
      </c>
      <c r="M255" t="inlineStr">
        <is>
          <t>1991</t>
        </is>
      </c>
      <c r="O255" t="inlineStr">
        <is>
          <t>eng</t>
        </is>
      </c>
      <c r="P255" t="inlineStr">
        <is>
          <t>xxu</t>
        </is>
      </c>
      <c r="Q255" t="inlineStr">
        <is>
          <t>Drugs and the pharmaceutical sciences ; v. 48</t>
        </is>
      </c>
      <c r="R255" t="inlineStr">
        <is>
          <t xml:space="preserve">QV </t>
        </is>
      </c>
      <c r="S255" t="n">
        <v>8</v>
      </c>
      <c r="T255" t="n">
        <v>8</v>
      </c>
      <c r="U255" t="inlineStr">
        <is>
          <t>2004-12-21</t>
        </is>
      </c>
      <c r="V255" t="inlineStr">
        <is>
          <t>2004-12-21</t>
        </is>
      </c>
      <c r="W255" t="inlineStr">
        <is>
          <t>1991-10-30</t>
        </is>
      </c>
      <c r="X255" t="inlineStr">
        <is>
          <t>1991-10-30</t>
        </is>
      </c>
      <c r="Y255" t="n">
        <v>158</v>
      </c>
      <c r="Z255" t="n">
        <v>111</v>
      </c>
      <c r="AA255" t="n">
        <v>111</v>
      </c>
      <c r="AB255" t="n">
        <v>1</v>
      </c>
      <c r="AC255" t="n">
        <v>1</v>
      </c>
      <c r="AD255" t="n">
        <v>4</v>
      </c>
      <c r="AE255" t="n">
        <v>4</v>
      </c>
      <c r="AF255" t="n">
        <v>3</v>
      </c>
      <c r="AG255" t="n">
        <v>3</v>
      </c>
      <c r="AH255" t="n">
        <v>2</v>
      </c>
      <c r="AI255" t="n">
        <v>2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HYPERLINK("https://creighton-primo.hosted.exlibrisgroup.com/primo-explore/search?tab=default_tab&amp;search_scope=EVERYTHING&amp;vid=01CRU&amp;lang=en_US&amp;offset=0&amp;query=any,contains,991000948169702656","Catalog Record")</f>
        <v/>
      </c>
      <c r="AT255">
        <f>HYPERLINK("http://www.worldcat.org/oclc/23973699","WorldCat Record")</f>
        <v/>
      </c>
    </row>
    <row r="256">
      <c r="A256" t="inlineStr">
        <is>
          <t>No</t>
        </is>
      </c>
      <c r="B256" t="inlineStr">
        <is>
          <t>QV38 P5319 2005</t>
        </is>
      </c>
      <c r="C256" t="inlineStr">
        <is>
          <t>0                      QV 0038000P  5319        2005</t>
        </is>
      </c>
      <c r="D256" t="inlineStr">
        <is>
          <t>Pharmacogenomics / [edited by] Werner Kalow, Urs A. Meyer, Rachel F. Tyndale.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Boca Raton : Taylor &amp; Francis, 2005.</t>
        </is>
      </c>
      <c r="M256" t="inlineStr">
        <is>
          <t>2005</t>
        </is>
      </c>
      <c r="N256" t="inlineStr">
        <is>
          <t>2nd ed.</t>
        </is>
      </c>
      <c r="O256" t="inlineStr">
        <is>
          <t>eng</t>
        </is>
      </c>
      <c r="P256" t="inlineStr">
        <is>
          <t>flu</t>
        </is>
      </c>
      <c r="Q256" t="inlineStr">
        <is>
          <t>Drugs and the pharmaceutical sciences ; 156</t>
        </is>
      </c>
      <c r="R256" t="inlineStr">
        <is>
          <t xml:space="preserve">QV </t>
        </is>
      </c>
      <c r="S256" t="n">
        <v>8</v>
      </c>
      <c r="T256" t="n">
        <v>8</v>
      </c>
      <c r="U256" t="inlineStr">
        <is>
          <t>2010-08-29</t>
        </is>
      </c>
      <c r="V256" t="inlineStr">
        <is>
          <t>2010-08-29</t>
        </is>
      </c>
      <c r="W256" t="inlineStr">
        <is>
          <t>2006-04-06</t>
        </is>
      </c>
      <c r="X256" t="inlineStr">
        <is>
          <t>2006-04-06</t>
        </is>
      </c>
      <c r="Y256" t="n">
        <v>139</v>
      </c>
      <c r="Z256" t="n">
        <v>91</v>
      </c>
      <c r="AA256" t="n">
        <v>184</v>
      </c>
      <c r="AB256" t="n">
        <v>1</v>
      </c>
      <c r="AC256" t="n">
        <v>1</v>
      </c>
      <c r="AD256" t="n">
        <v>3</v>
      </c>
      <c r="AE256" t="n">
        <v>6</v>
      </c>
      <c r="AF256" t="n">
        <v>0</v>
      </c>
      <c r="AG256" t="n">
        <v>2</v>
      </c>
      <c r="AH256" t="n">
        <v>2</v>
      </c>
      <c r="AI256" t="n">
        <v>3</v>
      </c>
      <c r="AJ256" t="n">
        <v>1</v>
      </c>
      <c r="AK256" t="n">
        <v>2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HYPERLINK("https://creighton-primo.hosted.exlibrisgroup.com/primo-explore/search?tab=default_tab&amp;search_scope=EVERYTHING&amp;vid=01CRU&amp;lang=en_US&amp;offset=0&amp;query=any,contains,991000472619702656","Catalog Record")</f>
        <v/>
      </c>
      <c r="AT256">
        <f>HYPERLINK("http://www.worldcat.org/oclc/60825584","WorldCat Record")</f>
        <v/>
      </c>
    </row>
    <row r="257">
      <c r="A257" t="inlineStr">
        <is>
          <t>No</t>
        </is>
      </c>
      <c r="B257" t="inlineStr">
        <is>
          <t>QV 38 P5355 1994</t>
        </is>
      </c>
      <c r="C257" t="inlineStr">
        <is>
          <t>0                      QV 0038000P  5355        1994</t>
        </is>
      </c>
      <c r="D257" t="inlineStr">
        <is>
          <t>The Pharmacologic approach to the critically ill patient / editor, Bart Chernow ; associate editors, John W. Holaday, Gary P. Zaloga, Arno L. Zaritsky ; editorial assistant, Lisa Daniel.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Baltimore, MD : Williams &amp; Wilkins, c1994.</t>
        </is>
      </c>
      <c r="M257" t="inlineStr">
        <is>
          <t>1994</t>
        </is>
      </c>
      <c r="N257" t="inlineStr">
        <is>
          <t>3rd ed.</t>
        </is>
      </c>
      <c r="O257" t="inlineStr">
        <is>
          <t>eng</t>
        </is>
      </c>
      <c r="P257" t="inlineStr">
        <is>
          <t>mdu</t>
        </is>
      </c>
      <c r="R257" t="inlineStr">
        <is>
          <t xml:space="preserve">QV </t>
        </is>
      </c>
      <c r="S257" t="n">
        <v>8</v>
      </c>
      <c r="T257" t="n">
        <v>8</v>
      </c>
      <c r="U257" t="inlineStr">
        <is>
          <t>1997-05-05</t>
        </is>
      </c>
      <c r="V257" t="inlineStr">
        <is>
          <t>1997-05-05</t>
        </is>
      </c>
      <c r="W257" t="inlineStr">
        <is>
          <t>1994-01-11</t>
        </is>
      </c>
      <c r="X257" t="inlineStr">
        <is>
          <t>1994-01-11</t>
        </is>
      </c>
      <c r="Y257" t="n">
        <v>171</v>
      </c>
      <c r="Z257" t="n">
        <v>126</v>
      </c>
      <c r="AA257" t="n">
        <v>224</v>
      </c>
      <c r="AB257" t="n">
        <v>1</v>
      </c>
      <c r="AC257" t="n">
        <v>1</v>
      </c>
      <c r="AD257" t="n">
        <v>3</v>
      </c>
      <c r="AE257" t="n">
        <v>6</v>
      </c>
      <c r="AF257" t="n">
        <v>2</v>
      </c>
      <c r="AG257" t="n">
        <v>3</v>
      </c>
      <c r="AH257" t="n">
        <v>2</v>
      </c>
      <c r="AI257" t="n">
        <v>3</v>
      </c>
      <c r="AJ257" t="n">
        <v>0</v>
      </c>
      <c r="AK257" t="n">
        <v>1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HYPERLINK("https://creighton-primo.hosted.exlibrisgroup.com/primo-explore/search?tab=default_tab&amp;search_scope=EVERYTHING&amp;vid=01CRU&amp;lang=en_US&amp;offset=0&amp;query=any,contains,991000649389702656","Catalog Record")</f>
        <v/>
      </c>
      <c r="AT257">
        <f>HYPERLINK("http://www.worldcat.org/oclc/28678521","WorldCat Record")</f>
        <v/>
      </c>
    </row>
    <row r="258">
      <c r="A258" t="inlineStr">
        <is>
          <t>No</t>
        </is>
      </c>
      <c r="B258" t="inlineStr">
        <is>
          <t>QV 38 P536 1977-81</t>
        </is>
      </c>
      <c r="C258" t="inlineStr">
        <is>
          <t>0                      QV 0038000P  536         1977                                        -81</t>
        </is>
      </c>
      <c r="D258" t="inlineStr">
        <is>
          <t>Pharmacological and biochemical properties of drug substances / Morton E. Goldberg, editor.</t>
        </is>
      </c>
      <c r="E258" t="inlineStr">
        <is>
          <t>V. 2</t>
        </is>
      </c>
      <c r="F258" t="inlineStr">
        <is>
          <t>Yes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Washington : American Pharmaceutical Association, Academy of Pharmaceutical Sciences, c1977-1981.</t>
        </is>
      </c>
      <c r="M258" t="inlineStr">
        <is>
          <t>1977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QV </t>
        </is>
      </c>
      <c r="S258" t="n">
        <v>2</v>
      </c>
      <c r="T258" t="n">
        <v>6</v>
      </c>
      <c r="U258" t="inlineStr">
        <is>
          <t>2007-02-04</t>
        </is>
      </c>
      <c r="V258" t="inlineStr">
        <is>
          <t>2007-02-04</t>
        </is>
      </c>
      <c r="W258" t="inlineStr">
        <is>
          <t>1987-12-11</t>
        </is>
      </c>
      <c r="X258" t="inlineStr">
        <is>
          <t>1989-07-21</t>
        </is>
      </c>
      <c r="Y258" t="n">
        <v>138</v>
      </c>
      <c r="Z258" t="n">
        <v>118</v>
      </c>
      <c r="AA258" t="n">
        <v>121</v>
      </c>
      <c r="AB258" t="n">
        <v>1</v>
      </c>
      <c r="AC258" t="n">
        <v>1</v>
      </c>
      <c r="AD258" t="n">
        <v>3</v>
      </c>
      <c r="AE258" t="n">
        <v>3</v>
      </c>
      <c r="AF258" t="n">
        <v>1</v>
      </c>
      <c r="AG258" t="n">
        <v>1</v>
      </c>
      <c r="AH258" t="n">
        <v>1</v>
      </c>
      <c r="AI258" t="n">
        <v>1</v>
      </c>
      <c r="AJ258" t="n">
        <v>1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HYPERLINK("http://catalog.hathitrust.org/Record/000188097","HathiTrust Record")</f>
        <v/>
      </c>
      <c r="AS258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58">
        <f>HYPERLINK("http://www.worldcat.org/oclc/3710703","WorldCat Record")</f>
        <v/>
      </c>
    </row>
    <row r="259">
      <c r="A259" t="inlineStr">
        <is>
          <t>No</t>
        </is>
      </c>
      <c r="B259" t="inlineStr">
        <is>
          <t>QV 38 P536 1977-81</t>
        </is>
      </c>
      <c r="C259" t="inlineStr">
        <is>
          <t>0                      QV 0038000P  536         1977                                        -81</t>
        </is>
      </c>
      <c r="D259" t="inlineStr">
        <is>
          <t>Pharmacological and biochemical properties of drug substances / Morton E. Goldberg, editor.</t>
        </is>
      </c>
      <c r="E259" t="inlineStr">
        <is>
          <t>V. 1</t>
        </is>
      </c>
      <c r="F259" t="inlineStr">
        <is>
          <t>Yes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Washington : American Pharmaceutical Association, Academy of Pharmaceutical Sciences, c1977-1981.</t>
        </is>
      </c>
      <c r="M259" t="inlineStr">
        <is>
          <t>1977</t>
        </is>
      </c>
      <c r="O259" t="inlineStr">
        <is>
          <t>eng</t>
        </is>
      </c>
      <c r="P259" t="inlineStr">
        <is>
          <t>dcu</t>
        </is>
      </c>
      <c r="R259" t="inlineStr">
        <is>
          <t xml:space="preserve">QV </t>
        </is>
      </c>
      <c r="S259" t="n">
        <v>1</v>
      </c>
      <c r="T259" t="n">
        <v>6</v>
      </c>
      <c r="U259" t="inlineStr">
        <is>
          <t>2007-02-04</t>
        </is>
      </c>
      <c r="V259" t="inlineStr">
        <is>
          <t>2007-02-04</t>
        </is>
      </c>
      <c r="W259" t="inlineStr">
        <is>
          <t>1987-12-11</t>
        </is>
      </c>
      <c r="X259" t="inlineStr">
        <is>
          <t>1989-07-21</t>
        </is>
      </c>
      <c r="Y259" t="n">
        <v>138</v>
      </c>
      <c r="Z259" t="n">
        <v>118</v>
      </c>
      <c r="AA259" t="n">
        <v>121</v>
      </c>
      <c r="AB259" t="n">
        <v>1</v>
      </c>
      <c r="AC259" t="n">
        <v>1</v>
      </c>
      <c r="AD259" t="n">
        <v>3</v>
      </c>
      <c r="AE259" t="n">
        <v>3</v>
      </c>
      <c r="AF259" t="n">
        <v>1</v>
      </c>
      <c r="AG259" t="n">
        <v>1</v>
      </c>
      <c r="AH259" t="n">
        <v>1</v>
      </c>
      <c r="AI259" t="n">
        <v>1</v>
      </c>
      <c r="AJ259" t="n">
        <v>1</v>
      </c>
      <c r="AK259" t="n">
        <v>1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HYPERLINK("http://catalog.hathitrust.org/Record/000188097","HathiTrust Record")</f>
        <v/>
      </c>
      <c r="AS259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59">
        <f>HYPERLINK("http://www.worldcat.org/oclc/3710703","WorldCat Record")</f>
        <v/>
      </c>
    </row>
    <row r="260">
      <c r="A260" t="inlineStr">
        <is>
          <t>No</t>
        </is>
      </c>
      <c r="B260" t="inlineStr">
        <is>
          <t>QV 38 P536 1977-81</t>
        </is>
      </c>
      <c r="C260" t="inlineStr">
        <is>
          <t>0                      QV 0038000P  536         1977                                        -81</t>
        </is>
      </c>
      <c r="D260" t="inlineStr">
        <is>
          <t>Pharmacological and biochemical properties of drug substances / Morton E. Goldberg, editor.</t>
        </is>
      </c>
      <c r="E260" t="inlineStr">
        <is>
          <t>V. 3</t>
        </is>
      </c>
      <c r="F260" t="inlineStr">
        <is>
          <t>Yes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Washington : American Pharmaceutical Association, Academy of Pharmaceutical Sciences, c1977-1981.</t>
        </is>
      </c>
      <c r="M260" t="inlineStr">
        <is>
          <t>1977</t>
        </is>
      </c>
      <c r="O260" t="inlineStr">
        <is>
          <t>eng</t>
        </is>
      </c>
      <c r="P260" t="inlineStr">
        <is>
          <t>dcu</t>
        </is>
      </c>
      <c r="R260" t="inlineStr">
        <is>
          <t xml:space="preserve">QV </t>
        </is>
      </c>
      <c r="S260" t="n">
        <v>3</v>
      </c>
      <c r="T260" t="n">
        <v>6</v>
      </c>
      <c r="U260" t="inlineStr">
        <is>
          <t>2007-02-04</t>
        </is>
      </c>
      <c r="V260" t="inlineStr">
        <is>
          <t>2007-02-04</t>
        </is>
      </c>
      <c r="W260" t="inlineStr">
        <is>
          <t>1989-07-21</t>
        </is>
      </c>
      <c r="X260" t="inlineStr">
        <is>
          <t>1989-07-21</t>
        </is>
      </c>
      <c r="Y260" t="n">
        <v>138</v>
      </c>
      <c r="Z260" t="n">
        <v>118</v>
      </c>
      <c r="AA260" t="n">
        <v>121</v>
      </c>
      <c r="AB260" t="n">
        <v>1</v>
      </c>
      <c r="AC260" t="n">
        <v>1</v>
      </c>
      <c r="AD260" t="n">
        <v>3</v>
      </c>
      <c r="AE260" t="n">
        <v>3</v>
      </c>
      <c r="AF260" t="n">
        <v>1</v>
      </c>
      <c r="AG260" t="n">
        <v>1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HYPERLINK("http://catalog.hathitrust.org/Record/000188097","HathiTrust Record")</f>
        <v/>
      </c>
      <c r="AS260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60">
        <f>HYPERLINK("http://www.worldcat.org/oclc/3710703","WorldCat Record")</f>
        <v/>
      </c>
    </row>
    <row r="261">
      <c r="A261" t="inlineStr">
        <is>
          <t>No</t>
        </is>
      </c>
      <c r="B261" t="inlineStr">
        <is>
          <t>QV 38 P698b 1977</t>
        </is>
      </c>
      <c r="C261" t="inlineStr">
        <is>
          <t>0                      QV 0038000P  698b        1977</t>
        </is>
      </c>
      <c r="D261" t="inlineStr">
        <is>
          <t>Basic concepts in biopharmaceutics : an introduction / Fotios M. Plakogiannis and Anthony J. Cutie.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Plakogiannis, Fotios M.</t>
        </is>
      </c>
      <c r="L261" t="inlineStr">
        <is>
          <t>-- Brooklyn, N. Y. : Brooklyn Medical Press, 1977.</t>
        </is>
      </c>
      <c r="M261" t="inlineStr">
        <is>
          <t>1977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QV </t>
        </is>
      </c>
      <c r="S261" t="n">
        <v>3</v>
      </c>
      <c r="T261" t="n">
        <v>3</v>
      </c>
      <c r="U261" t="inlineStr">
        <is>
          <t>1998-04-29</t>
        </is>
      </c>
      <c r="V261" t="inlineStr">
        <is>
          <t>1998-04-29</t>
        </is>
      </c>
      <c r="W261" t="inlineStr">
        <is>
          <t>1988-02-04</t>
        </is>
      </c>
      <c r="X261" t="inlineStr">
        <is>
          <t>1988-02-04</t>
        </is>
      </c>
      <c r="Y261" t="n">
        <v>25</v>
      </c>
      <c r="Z261" t="n">
        <v>21</v>
      </c>
      <c r="AA261" t="n">
        <v>21</v>
      </c>
      <c r="AB261" t="n">
        <v>1</v>
      </c>
      <c r="AC261" t="n">
        <v>1</v>
      </c>
      <c r="AD261" t="n">
        <v>3</v>
      </c>
      <c r="AE261" t="n">
        <v>3</v>
      </c>
      <c r="AF261" t="n">
        <v>2</v>
      </c>
      <c r="AG261" t="n">
        <v>2</v>
      </c>
      <c r="AH261" t="n">
        <v>2</v>
      </c>
      <c r="AI261" t="n">
        <v>2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HYPERLINK("https://creighton-primo.hosted.exlibrisgroup.com/primo-explore/search?tab=default_tab&amp;search_scope=EVERYTHING&amp;vid=01CRU&amp;lang=en_US&amp;offset=0&amp;query=any,contains,991000952749702656","Catalog Record")</f>
        <v/>
      </c>
      <c r="AT261">
        <f>HYPERLINK("http://www.worldcat.org/oclc/3304014","WorldCat Record")</f>
        <v/>
      </c>
    </row>
    <row r="262">
      <c r="A262" t="inlineStr">
        <is>
          <t>No</t>
        </is>
      </c>
      <c r="B262" t="inlineStr">
        <is>
          <t>QV 38 P957 1989</t>
        </is>
      </c>
      <c r="C262" t="inlineStr">
        <is>
          <t>0                      QV 0038000P  957         1989</t>
        </is>
      </c>
      <c r="D262" t="inlineStr">
        <is>
          <t>Principles of medical pharmacology.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Toronto ; Philadelphia : Decker ; Saint Louis, Mo. : Mosby, [U.S. distributor], c1989.</t>
        </is>
      </c>
      <c r="M262" t="inlineStr">
        <is>
          <t>1989</t>
        </is>
      </c>
      <c r="N262" t="inlineStr">
        <is>
          <t>5th ed. / [edited by] Harold Kalant, Walter H.E. Roschlau.</t>
        </is>
      </c>
      <c r="O262" t="inlineStr">
        <is>
          <t>eng</t>
        </is>
      </c>
      <c r="P262" t="inlineStr">
        <is>
          <t>onc</t>
        </is>
      </c>
      <c r="R262" t="inlineStr">
        <is>
          <t xml:space="preserve">QV </t>
        </is>
      </c>
      <c r="S262" t="n">
        <v>55</v>
      </c>
      <c r="T262" t="n">
        <v>55</v>
      </c>
      <c r="U262" t="inlineStr">
        <is>
          <t>2008-06-17</t>
        </is>
      </c>
      <c r="V262" t="inlineStr">
        <is>
          <t>2008-06-17</t>
        </is>
      </c>
      <c r="W262" t="inlineStr">
        <is>
          <t>1989-11-18</t>
        </is>
      </c>
      <c r="X262" t="inlineStr">
        <is>
          <t>1989-11-18</t>
        </is>
      </c>
      <c r="Y262" t="n">
        <v>125</v>
      </c>
      <c r="Z262" t="n">
        <v>73</v>
      </c>
      <c r="AA262" t="n">
        <v>226</v>
      </c>
      <c r="AB262" t="n">
        <v>1</v>
      </c>
      <c r="AC262" t="n">
        <v>2</v>
      </c>
      <c r="AD262" t="n">
        <v>2</v>
      </c>
      <c r="AE262" t="n">
        <v>12</v>
      </c>
      <c r="AF262" t="n">
        <v>0</v>
      </c>
      <c r="AG262" t="n">
        <v>5</v>
      </c>
      <c r="AH262" t="n">
        <v>1</v>
      </c>
      <c r="AI262" t="n">
        <v>3</v>
      </c>
      <c r="AJ262" t="n">
        <v>1</v>
      </c>
      <c r="AK262" t="n">
        <v>4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HYPERLINK("http://catalog.hathitrust.org/Record/001839821","HathiTrust Record")</f>
        <v/>
      </c>
      <c r="AS262">
        <f>HYPERLINK("https://creighton-primo.hosted.exlibrisgroup.com/primo-explore/search?tab=default_tab&amp;search_scope=EVERYTHING&amp;vid=01CRU&amp;lang=en_US&amp;offset=0&amp;query=any,contains,991001367579702656","Catalog Record")</f>
        <v/>
      </c>
      <c r="AT262">
        <f>HYPERLINK("http://www.worldcat.org/oclc/20161509","WorldCat Record")</f>
        <v/>
      </c>
    </row>
    <row r="263">
      <c r="A263" t="inlineStr">
        <is>
          <t>No</t>
        </is>
      </c>
      <c r="B263" t="inlineStr">
        <is>
          <t>QV 38 P957 1990</t>
        </is>
      </c>
      <c r="C263" t="inlineStr">
        <is>
          <t>0                      QV 0038000P  957         1990</t>
        </is>
      </c>
      <c r="D263" t="inlineStr">
        <is>
          <t>Principles of drug action : the basis of pharmacology.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L263" t="inlineStr">
        <is>
          <t>New York : Churchill Livingstone, c1990.</t>
        </is>
      </c>
      <c r="M263" t="inlineStr">
        <is>
          <t>1990</t>
        </is>
      </c>
      <c r="N263" t="inlineStr">
        <is>
          <t>3rd ed. / edited by William B. Pratt, Palmer Taylor.</t>
        </is>
      </c>
      <c r="O263" t="inlineStr">
        <is>
          <t>eng</t>
        </is>
      </c>
      <c r="P263" t="inlineStr">
        <is>
          <t>xxu</t>
        </is>
      </c>
      <c r="R263" t="inlineStr">
        <is>
          <t xml:space="preserve">QV </t>
        </is>
      </c>
      <c r="S263" t="n">
        <v>33</v>
      </c>
      <c r="T263" t="n">
        <v>33</v>
      </c>
      <c r="U263" t="inlineStr">
        <is>
          <t>2004-09-07</t>
        </is>
      </c>
      <c r="V263" t="inlineStr">
        <is>
          <t>2004-09-07</t>
        </is>
      </c>
      <c r="W263" t="inlineStr">
        <is>
          <t>1991-02-19</t>
        </is>
      </c>
      <c r="X263" t="inlineStr">
        <is>
          <t>1991-02-19</t>
        </is>
      </c>
      <c r="Y263" t="n">
        <v>327</v>
      </c>
      <c r="Z263" t="n">
        <v>193</v>
      </c>
      <c r="AA263" t="n">
        <v>539</v>
      </c>
      <c r="AB263" t="n">
        <v>1</v>
      </c>
      <c r="AC263" t="n">
        <v>3</v>
      </c>
      <c r="AD263" t="n">
        <v>3</v>
      </c>
      <c r="AE263" t="n">
        <v>16</v>
      </c>
      <c r="AF263" t="n">
        <v>2</v>
      </c>
      <c r="AG263" t="n">
        <v>7</v>
      </c>
      <c r="AH263" t="n">
        <v>2</v>
      </c>
      <c r="AI263" t="n">
        <v>2</v>
      </c>
      <c r="AJ263" t="n">
        <v>0</v>
      </c>
      <c r="AK263" t="n">
        <v>7</v>
      </c>
      <c r="AL263" t="n">
        <v>0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HYPERLINK("http://catalog.hathitrust.org/Record/002170831","HathiTrust Record")</f>
        <v/>
      </c>
      <c r="AS263">
        <f>HYPERLINK("https://creighton-primo.hosted.exlibrisgroup.com/primo-explore/search?tab=default_tab&amp;search_scope=EVERYTHING&amp;vid=01CRU&amp;lang=en_US&amp;offset=0&amp;query=any,contains,991000821779702656","Catalog Record")</f>
        <v/>
      </c>
      <c r="AT263">
        <f>HYPERLINK("http://www.worldcat.org/oclc/21226640","WorldCat Record")</f>
        <v/>
      </c>
    </row>
    <row r="264">
      <c r="A264" t="inlineStr">
        <is>
          <t>No</t>
        </is>
      </c>
      <c r="B264" t="inlineStr">
        <is>
          <t>QV 38 PR524E 1976 v.10</t>
        </is>
      </c>
      <c r="C264" t="inlineStr">
        <is>
          <t>0                      QV 0038000PR 524E        1976                                        v.10</t>
        </is>
      </c>
      <c r="D264" t="inlineStr">
        <is>
          <t>Patient compliance / edited by Louis Lasagna.</t>
        </is>
      </c>
      <c r="E264" t="inlineStr">
        <is>
          <t>V. 10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Mount Kisco, N.Y. : Futura Pub. Co., c1976.</t>
        </is>
      </c>
      <c r="M264" t="inlineStr">
        <is>
          <t>1976</t>
        </is>
      </c>
      <c r="O264" t="inlineStr">
        <is>
          <t>eng</t>
        </is>
      </c>
      <c r="P264" t="inlineStr">
        <is>
          <t>nyu</t>
        </is>
      </c>
      <c r="Q264" t="inlineStr">
        <is>
          <t>Principles and techniques of human research and therapeutics ; v. 10.</t>
        </is>
      </c>
      <c r="R264" t="inlineStr">
        <is>
          <t xml:space="preserve">QV </t>
        </is>
      </c>
      <c r="S264" t="n">
        <v>21</v>
      </c>
      <c r="T264" t="n">
        <v>21</v>
      </c>
      <c r="U264" t="inlineStr">
        <is>
          <t>1996-02-22</t>
        </is>
      </c>
      <c r="V264" t="inlineStr">
        <is>
          <t>1996-02-22</t>
        </is>
      </c>
      <c r="W264" t="inlineStr">
        <is>
          <t>1988-01-09</t>
        </is>
      </c>
      <c r="X264" t="inlineStr">
        <is>
          <t>1988-01-09</t>
        </is>
      </c>
      <c r="Y264" t="n">
        <v>100</v>
      </c>
      <c r="Z264" t="n">
        <v>77</v>
      </c>
      <c r="AA264" t="n">
        <v>79</v>
      </c>
      <c r="AB264" t="n">
        <v>2</v>
      </c>
      <c r="AC264" t="n">
        <v>2</v>
      </c>
      <c r="AD264" t="n">
        <v>5</v>
      </c>
      <c r="AE264" t="n">
        <v>5</v>
      </c>
      <c r="AF264" t="n">
        <v>2</v>
      </c>
      <c r="AG264" t="n">
        <v>2</v>
      </c>
      <c r="AH264" t="n">
        <v>2</v>
      </c>
      <c r="AI264" t="n">
        <v>2</v>
      </c>
      <c r="AJ264" t="n">
        <v>2</v>
      </c>
      <c r="AK264" t="n">
        <v>2</v>
      </c>
      <c r="AL264" t="n">
        <v>1</v>
      </c>
      <c r="AM264" t="n">
        <v>1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HYPERLINK("http://catalog.hathitrust.org/Record/000242161","HathiTrust Record")</f>
        <v/>
      </c>
      <c r="AS264">
        <f>HYPERLINK("https://creighton-primo.hosted.exlibrisgroup.com/primo-explore/search?tab=default_tab&amp;search_scope=EVERYTHING&amp;vid=01CRU&amp;lang=en_US&amp;offset=0&amp;query=any,contains,991000984879702656","Catalog Record")</f>
        <v/>
      </c>
      <c r="AT264">
        <f>HYPERLINK("http://www.worldcat.org/oclc/2486308","WorldCat Record")</f>
        <v/>
      </c>
    </row>
    <row r="265">
      <c r="A265" t="inlineStr">
        <is>
          <t>No</t>
        </is>
      </c>
      <c r="B265" t="inlineStr">
        <is>
          <t>QV 38 R236 1990</t>
        </is>
      </c>
      <c r="C265" t="inlineStr">
        <is>
          <t>0                      QV 0038000R  236         1990</t>
        </is>
      </c>
      <c r="D265" t="inlineStr">
        <is>
          <t>Rational therapeutics : a clinical pharmacologic guide for the health professional / edited by Roger L. Williams, D. Craig Brater, Joyce Mordenti.</t>
        </is>
      </c>
      <c r="E265" t="inlineStr">
        <is>
          <t>V. 16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New York : M. Dekker, c1990.</t>
        </is>
      </c>
      <c r="M265" t="inlineStr">
        <is>
          <t>1990</t>
        </is>
      </c>
      <c r="O265" t="inlineStr">
        <is>
          <t>eng</t>
        </is>
      </c>
      <c r="P265" t="inlineStr">
        <is>
          <t>xxu</t>
        </is>
      </c>
      <c r="Q265" t="inlineStr">
        <is>
          <t>Clinical pharmacology ; v. 16</t>
        </is>
      </c>
      <c r="R265" t="inlineStr">
        <is>
          <t xml:space="preserve">QV </t>
        </is>
      </c>
      <c r="S265" t="n">
        <v>10</v>
      </c>
      <c r="T265" t="n">
        <v>10</v>
      </c>
      <c r="U265" t="inlineStr">
        <is>
          <t>1995-12-11</t>
        </is>
      </c>
      <c r="V265" t="inlineStr">
        <is>
          <t>1995-12-11</t>
        </is>
      </c>
      <c r="W265" t="inlineStr">
        <is>
          <t>1990-07-03</t>
        </is>
      </c>
      <c r="X265" t="inlineStr">
        <is>
          <t>1990-07-03</t>
        </is>
      </c>
      <c r="Y265" t="n">
        <v>75</v>
      </c>
      <c r="Z265" t="n">
        <v>58</v>
      </c>
      <c r="AA265" t="n">
        <v>59</v>
      </c>
      <c r="AB265" t="n">
        <v>1</v>
      </c>
      <c r="AC265" t="n">
        <v>1</v>
      </c>
      <c r="AD265" t="n">
        <v>3</v>
      </c>
      <c r="AE265" t="n">
        <v>3</v>
      </c>
      <c r="AF265" t="n">
        <v>2</v>
      </c>
      <c r="AG265" t="n">
        <v>2</v>
      </c>
      <c r="AH265" t="n">
        <v>0</v>
      </c>
      <c r="AI265" t="n">
        <v>0</v>
      </c>
      <c r="AJ265" t="n">
        <v>1</v>
      </c>
      <c r="AK265" t="n">
        <v>1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HYPERLINK("https://creighton-primo.hosted.exlibrisgroup.com/primo-explore/search?tab=default_tab&amp;search_scope=EVERYTHING&amp;vid=01CRU&amp;lang=en_US&amp;offset=0&amp;query=any,contains,991001451099702656","Catalog Record")</f>
        <v/>
      </c>
      <c r="AT265">
        <f>HYPERLINK("http://www.worldcat.org/oclc/20491813","WorldCat Record")</f>
        <v/>
      </c>
    </row>
    <row r="266">
      <c r="A266" t="inlineStr">
        <is>
          <t>No</t>
        </is>
      </c>
      <c r="B266" t="inlineStr">
        <is>
          <t>QV 38 R29435 1999</t>
        </is>
      </c>
      <c r="C266" t="inlineStr">
        <is>
          <t>0                      QV 0038000R  29435       1999</t>
        </is>
      </c>
      <c r="D266" t="inlineStr">
        <is>
          <t>Receptor binding techniques / edited by Mary Keen.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Totowa, N.J. : Humana Press, c1999.</t>
        </is>
      </c>
      <c r="M266" t="inlineStr">
        <is>
          <t>1999</t>
        </is>
      </c>
      <c r="O266" t="inlineStr">
        <is>
          <t>eng</t>
        </is>
      </c>
      <c r="P266" t="inlineStr">
        <is>
          <t>nju</t>
        </is>
      </c>
      <c r="Q266" t="inlineStr">
        <is>
          <t>Methods in molecular biology ; v. 106</t>
        </is>
      </c>
      <c r="R266" t="inlineStr">
        <is>
          <t xml:space="preserve">QV </t>
        </is>
      </c>
      <c r="S266" t="n">
        <v>13</v>
      </c>
      <c r="T266" t="n">
        <v>13</v>
      </c>
      <c r="U266" t="inlineStr">
        <is>
          <t>2008-05-05</t>
        </is>
      </c>
      <c r="V266" t="inlineStr">
        <is>
          <t>2008-05-05</t>
        </is>
      </c>
      <c r="W266" t="inlineStr">
        <is>
          <t>2000-02-18</t>
        </is>
      </c>
      <c r="X266" t="inlineStr">
        <is>
          <t>2000-02-18</t>
        </is>
      </c>
      <c r="Y266" t="n">
        <v>206</v>
      </c>
      <c r="Z266" t="n">
        <v>133</v>
      </c>
      <c r="AA266" t="n">
        <v>181</v>
      </c>
      <c r="AB266" t="n">
        <v>2</v>
      </c>
      <c r="AC266" t="n">
        <v>3</v>
      </c>
      <c r="AD266" t="n">
        <v>2</v>
      </c>
      <c r="AE266" t="n">
        <v>4</v>
      </c>
      <c r="AF266" t="n">
        <v>0</v>
      </c>
      <c r="AG266" t="n">
        <v>1</v>
      </c>
      <c r="AH266" t="n">
        <v>0</v>
      </c>
      <c r="AI266" t="n">
        <v>0</v>
      </c>
      <c r="AJ266" t="n">
        <v>1</v>
      </c>
      <c r="AK266" t="n">
        <v>1</v>
      </c>
      <c r="AL266" t="n">
        <v>1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HYPERLINK("https://creighton-primo.hosted.exlibrisgroup.com/primo-explore/search?tab=default_tab&amp;search_scope=EVERYTHING&amp;vid=01CRU&amp;lang=en_US&amp;offset=0&amp;query=any,contains,991001406419702656","Catalog Record")</f>
        <v/>
      </c>
      <c r="AT266">
        <f>HYPERLINK("http://www.worldcat.org/oclc/40120334","WorldCat Record")</f>
        <v/>
      </c>
    </row>
    <row r="267">
      <c r="A267" t="inlineStr">
        <is>
          <t>No</t>
        </is>
      </c>
      <c r="B267" t="inlineStr">
        <is>
          <t>QV 38 R295</t>
        </is>
      </c>
      <c r="C267" t="inlineStr">
        <is>
          <t>0                      QV 0038000R  295</t>
        </is>
      </c>
      <c r="D267" t="inlineStr">
        <is>
          <t>The Receptors : a comprehensive treatise / edited by R. D. O'Brien.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-- New York : Plenum Press, c1979-</t>
        </is>
      </c>
      <c r="M267" t="inlineStr">
        <is>
          <t>1979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QV </t>
        </is>
      </c>
      <c r="S267" t="n">
        <v>9</v>
      </c>
      <c r="T267" t="n">
        <v>9</v>
      </c>
      <c r="U267" t="inlineStr">
        <is>
          <t>2008-05-25</t>
        </is>
      </c>
      <c r="V267" t="inlineStr">
        <is>
          <t>2008-05-25</t>
        </is>
      </c>
      <c r="W267" t="inlineStr">
        <is>
          <t>1988-04-18</t>
        </is>
      </c>
      <c r="X267" t="inlineStr">
        <is>
          <t>1988-04-18</t>
        </is>
      </c>
      <c r="Y267" t="n">
        <v>303</v>
      </c>
      <c r="Z267" t="n">
        <v>246</v>
      </c>
      <c r="AA267" t="n">
        <v>248</v>
      </c>
      <c r="AB267" t="n">
        <v>3</v>
      </c>
      <c r="AC267" t="n">
        <v>3</v>
      </c>
      <c r="AD267" t="n">
        <v>9</v>
      </c>
      <c r="AE267" t="n">
        <v>9</v>
      </c>
      <c r="AF267" t="n">
        <v>1</v>
      </c>
      <c r="AG267" t="n">
        <v>1</v>
      </c>
      <c r="AH267" t="n">
        <v>3</v>
      </c>
      <c r="AI267" t="n">
        <v>3</v>
      </c>
      <c r="AJ267" t="n">
        <v>5</v>
      </c>
      <c r="AK267" t="n">
        <v>5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HYPERLINK("http://catalog.hathitrust.org/Record/000030269","HathiTrust Record")</f>
        <v/>
      </c>
      <c r="AS267">
        <f>HYPERLINK("https://creighton-primo.hosted.exlibrisgroup.com/primo-explore/search?tab=default_tab&amp;search_scope=EVERYTHING&amp;vid=01CRU&amp;lang=en_US&amp;offset=0&amp;query=any,contains,991000952719702656","Catalog Record")</f>
        <v/>
      </c>
      <c r="AT267">
        <f>HYPERLINK("http://www.worldcat.org/oclc/4503551","WorldCat Record")</f>
        <v/>
      </c>
    </row>
    <row r="268">
      <c r="A268" t="inlineStr">
        <is>
          <t>No</t>
        </is>
      </c>
      <c r="B268" t="inlineStr">
        <is>
          <t>QV 38 R612h 1980</t>
        </is>
      </c>
      <c r="C268" t="inlineStr">
        <is>
          <t>0                      QV 0038000R  612h        1980</t>
        </is>
      </c>
      <c r="D268" t="inlineStr">
        <is>
          <t>Handbook of basic pharmacokinetics / by W.A. Ritschel.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Ritschel, W. A. (Wolfgang A.)</t>
        </is>
      </c>
      <c r="L268" t="inlineStr">
        <is>
          <t>Hamilton, Ill. : Drug Intelligence Publications, c1980.</t>
        </is>
      </c>
      <c r="M268" t="inlineStr">
        <is>
          <t>1980</t>
        </is>
      </c>
      <c r="N268" t="inlineStr">
        <is>
          <t>2nd ed.</t>
        </is>
      </c>
      <c r="O268" t="inlineStr">
        <is>
          <t>eng</t>
        </is>
      </c>
      <c r="P268" t="inlineStr">
        <is>
          <t>ilu</t>
        </is>
      </c>
      <c r="R268" t="inlineStr">
        <is>
          <t xml:space="preserve">QV </t>
        </is>
      </c>
      <c r="S268" t="n">
        <v>31</v>
      </c>
      <c r="T268" t="n">
        <v>31</v>
      </c>
      <c r="U268" t="inlineStr">
        <is>
          <t>2006-08-20</t>
        </is>
      </c>
      <c r="V268" t="inlineStr">
        <is>
          <t>2006-08-20</t>
        </is>
      </c>
      <c r="W268" t="inlineStr">
        <is>
          <t>1988-02-04</t>
        </is>
      </c>
      <c r="X268" t="inlineStr">
        <is>
          <t>1988-02-04</t>
        </is>
      </c>
      <c r="Y268" t="n">
        <v>82</v>
      </c>
      <c r="Z268" t="n">
        <v>63</v>
      </c>
      <c r="AA268" t="n">
        <v>264</v>
      </c>
      <c r="AB268" t="n">
        <v>1</v>
      </c>
      <c r="AC268" t="n">
        <v>2</v>
      </c>
      <c r="AD268" t="n">
        <v>0</v>
      </c>
      <c r="AE268" t="n">
        <v>12</v>
      </c>
      <c r="AF268" t="n">
        <v>0</v>
      </c>
      <c r="AG268" t="n">
        <v>8</v>
      </c>
      <c r="AH268" t="n">
        <v>0</v>
      </c>
      <c r="AI268" t="n">
        <v>3</v>
      </c>
      <c r="AJ268" t="n">
        <v>0</v>
      </c>
      <c r="AK268" t="n">
        <v>3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HYPERLINK("http://catalog.hathitrust.org/Record/000182270","HathiTrust Record")</f>
        <v/>
      </c>
      <c r="AS268">
        <f>HYPERLINK("https://creighton-primo.hosted.exlibrisgroup.com/primo-explore/search?tab=default_tab&amp;search_scope=EVERYTHING&amp;vid=01CRU&amp;lang=en_US&amp;offset=0&amp;query=any,contains,991000952679702656","Catalog Record")</f>
        <v/>
      </c>
      <c r="AT268">
        <f>HYPERLINK("http://www.worldcat.org/oclc/8051174","WorldCat Record")</f>
        <v/>
      </c>
    </row>
    <row r="269">
      <c r="A269" t="inlineStr">
        <is>
          <t>No</t>
        </is>
      </c>
      <c r="B269" t="inlineStr">
        <is>
          <t>QV 38 R628i 2000</t>
        </is>
      </c>
      <c r="C269" t="inlineStr">
        <is>
          <t>0                      QV 0038000R  628i        2000</t>
        </is>
      </c>
      <c r="D269" t="inlineStr">
        <is>
          <t>Introductory clinical pharmacology / Sally S. Roach, Jeanne C. Scherer.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Yes</t>
        </is>
      </c>
      <c r="J269" t="inlineStr">
        <is>
          <t>0</t>
        </is>
      </c>
      <c r="K269" t="inlineStr">
        <is>
          <t>Roach, Sally S.</t>
        </is>
      </c>
      <c r="L269" t="inlineStr">
        <is>
          <t>Philadelphia : Lippincott, c2000.</t>
        </is>
      </c>
      <c r="M269" t="inlineStr">
        <is>
          <t>2000</t>
        </is>
      </c>
      <c r="N269" t="inlineStr">
        <is>
          <t>6th ed.</t>
        </is>
      </c>
      <c r="O269" t="inlineStr">
        <is>
          <t>eng</t>
        </is>
      </c>
      <c r="P269" t="inlineStr">
        <is>
          <t>pau</t>
        </is>
      </c>
      <c r="R269" t="inlineStr">
        <is>
          <t xml:space="preserve">QV </t>
        </is>
      </c>
      <c r="S269" t="n">
        <v>18</v>
      </c>
      <c r="T269" t="n">
        <v>18</v>
      </c>
      <c r="U269" t="inlineStr">
        <is>
          <t>2006-07-03</t>
        </is>
      </c>
      <c r="V269" t="inlineStr">
        <is>
          <t>2006-07-03</t>
        </is>
      </c>
      <c r="W269" t="inlineStr">
        <is>
          <t>2000-02-08</t>
        </is>
      </c>
      <c r="X269" t="inlineStr">
        <is>
          <t>2000-02-08</t>
        </is>
      </c>
      <c r="Y269" t="n">
        <v>149</v>
      </c>
      <c r="Z269" t="n">
        <v>113</v>
      </c>
      <c r="AA269" t="n">
        <v>526</v>
      </c>
      <c r="AB269" t="n">
        <v>1</v>
      </c>
      <c r="AC269" t="n">
        <v>3</v>
      </c>
      <c r="AD269" t="n">
        <v>4</v>
      </c>
      <c r="AE269" t="n">
        <v>13</v>
      </c>
      <c r="AF269" t="n">
        <v>3</v>
      </c>
      <c r="AG269" t="n">
        <v>5</v>
      </c>
      <c r="AH269" t="n">
        <v>1</v>
      </c>
      <c r="AI269" t="n">
        <v>4</v>
      </c>
      <c r="AJ269" t="n">
        <v>1</v>
      </c>
      <c r="AK269" t="n">
        <v>6</v>
      </c>
      <c r="AL269" t="n">
        <v>0</v>
      </c>
      <c r="AM269" t="n">
        <v>2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HYPERLINK("http://catalog.hathitrust.org/Record/004068947","HathiTrust Record")</f>
        <v/>
      </c>
      <c r="AS269">
        <f>HYPERLINK("https://creighton-primo.hosted.exlibrisgroup.com/primo-explore/search?tab=default_tab&amp;search_scope=EVERYTHING&amp;vid=01CRU&amp;lang=en_US&amp;offset=0&amp;query=any,contains,991001412279702656","Catalog Record")</f>
        <v/>
      </c>
      <c r="AT269">
        <f>HYPERLINK("http://www.worldcat.org/oclc/41326409","WorldCat Record")</f>
        <v/>
      </c>
    </row>
    <row r="270">
      <c r="A270" t="inlineStr">
        <is>
          <t>No</t>
        </is>
      </c>
      <c r="B270" t="inlineStr">
        <is>
          <t>QV 38 R698d 1989</t>
        </is>
      </c>
      <c r="C270" t="inlineStr">
        <is>
          <t>0                      QV 0038000R  698d        1989</t>
        </is>
      </c>
      <c r="D270" t="inlineStr">
        <is>
          <t>Diet and drug interactions / Daphne A. Roe.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Roe, Daphne A., 1923-</t>
        </is>
      </c>
      <c r="L270" t="inlineStr">
        <is>
          <t>New York : Van Nostrand Reinhold Co., c1988.</t>
        </is>
      </c>
      <c r="M270" t="inlineStr">
        <is>
          <t>1989</t>
        </is>
      </c>
      <c r="O270" t="inlineStr">
        <is>
          <t>eng</t>
        </is>
      </c>
      <c r="P270" t="inlineStr">
        <is>
          <t>xxu</t>
        </is>
      </c>
      <c r="R270" t="inlineStr">
        <is>
          <t xml:space="preserve">QV </t>
        </is>
      </c>
      <c r="S270" t="n">
        <v>12</v>
      </c>
      <c r="T270" t="n">
        <v>12</v>
      </c>
      <c r="U270" t="inlineStr">
        <is>
          <t>1997-09-24</t>
        </is>
      </c>
      <c r="V270" t="inlineStr">
        <is>
          <t>1997-09-24</t>
        </is>
      </c>
      <c r="W270" t="inlineStr">
        <is>
          <t>1989-02-07</t>
        </is>
      </c>
      <c r="X270" t="inlineStr">
        <is>
          <t>1989-02-07</t>
        </is>
      </c>
      <c r="Y270" t="n">
        <v>315</v>
      </c>
      <c r="Z270" t="n">
        <v>277</v>
      </c>
      <c r="AA270" t="n">
        <v>310</v>
      </c>
      <c r="AB270" t="n">
        <v>4</v>
      </c>
      <c r="AC270" t="n">
        <v>4</v>
      </c>
      <c r="AD270" t="n">
        <v>10</v>
      </c>
      <c r="AE270" t="n">
        <v>11</v>
      </c>
      <c r="AF270" t="n">
        <v>3</v>
      </c>
      <c r="AG270" t="n">
        <v>4</v>
      </c>
      <c r="AH270" t="n">
        <v>3</v>
      </c>
      <c r="AI270" t="n">
        <v>3</v>
      </c>
      <c r="AJ270" t="n">
        <v>3</v>
      </c>
      <c r="AK270" t="n">
        <v>4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HYPERLINK("http://catalog.hathitrust.org/Record/000944555","HathiTrust Record")</f>
        <v/>
      </c>
      <c r="AS270">
        <f>HYPERLINK("https://creighton-primo.hosted.exlibrisgroup.com/primo-explore/search?tab=default_tab&amp;search_scope=EVERYTHING&amp;vid=01CRU&amp;lang=en_US&amp;offset=0&amp;query=any,contains,991001121329702656","Catalog Record")</f>
        <v/>
      </c>
      <c r="AT270">
        <f>HYPERLINK("http://www.worldcat.org/oclc/17650456","WorldCat Record")</f>
        <v/>
      </c>
    </row>
    <row r="271">
      <c r="A271" t="inlineStr">
        <is>
          <t>No</t>
        </is>
      </c>
      <c r="B271" t="inlineStr">
        <is>
          <t>QV 38 S257h 1989</t>
        </is>
      </c>
      <c r="C271" t="inlineStr">
        <is>
          <t>0                      QV 0038000S  257h        1989</t>
        </is>
      </c>
      <c r="D271" t="inlineStr">
        <is>
          <t>Human drug kinetics : a course of simulated experiments / L. Saunders, D. Ingram, S.H.D. Jackson.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Saunders, Leonard.</t>
        </is>
      </c>
      <c r="L271" t="inlineStr">
        <is>
          <t>Oxford, England ; New York : IRL Press, c1989.</t>
        </is>
      </c>
      <c r="M271" t="inlineStr">
        <is>
          <t>1989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QV </t>
        </is>
      </c>
      <c r="S271" t="n">
        <v>22</v>
      </c>
      <c r="T271" t="n">
        <v>22</v>
      </c>
      <c r="U271" t="inlineStr">
        <is>
          <t>2002-04-15</t>
        </is>
      </c>
      <c r="V271" t="inlineStr">
        <is>
          <t>2002-04-15</t>
        </is>
      </c>
      <c r="W271" t="inlineStr">
        <is>
          <t>1989-11-03</t>
        </is>
      </c>
      <c r="X271" t="inlineStr">
        <is>
          <t>1989-11-03</t>
        </is>
      </c>
      <c r="Y271" t="n">
        <v>69</v>
      </c>
      <c r="Z271" t="n">
        <v>42</v>
      </c>
      <c r="AA271" t="n">
        <v>46</v>
      </c>
      <c r="AB271" t="n">
        <v>1</v>
      </c>
      <c r="AC271" t="n">
        <v>1</v>
      </c>
      <c r="AD271" t="n">
        <v>1</v>
      </c>
      <c r="AE271" t="n">
        <v>1</v>
      </c>
      <c r="AF271" t="n">
        <v>1</v>
      </c>
      <c r="AG271" t="n">
        <v>1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HYPERLINK("http://catalog.hathitrust.org/Record/002233084","HathiTrust Record")</f>
        <v/>
      </c>
      <c r="AS271">
        <f>HYPERLINK("https://creighton-primo.hosted.exlibrisgroup.com/primo-explore/search?tab=default_tab&amp;search_scope=EVERYTHING&amp;vid=01CRU&amp;lang=en_US&amp;offset=0&amp;query=any,contains,991001361149702656","Catalog Record")</f>
        <v/>
      </c>
      <c r="AT271">
        <f>HYPERLINK("http://www.worldcat.org/oclc/18833905","WorldCat Record")</f>
        <v/>
      </c>
    </row>
    <row r="272">
      <c r="A272" t="inlineStr">
        <is>
          <t>No</t>
        </is>
      </c>
      <c r="B272" t="inlineStr">
        <is>
          <t>QV 38 S416 1986</t>
        </is>
      </c>
      <c r="C272" t="inlineStr">
        <is>
          <t>0                      QV 0038000S  416         1986</t>
        </is>
      </c>
      <c r="D272" t="inlineStr">
        <is>
          <t>The scientific basis of clinical pharmacology : principles and examples / [edited by] Reynold Spector.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Boston : Little, Brown, c1986.</t>
        </is>
      </c>
      <c r="M272" t="inlineStr">
        <is>
          <t>1986</t>
        </is>
      </c>
      <c r="O272" t="inlineStr">
        <is>
          <t>eng</t>
        </is>
      </c>
      <c r="P272" t="inlineStr">
        <is>
          <t>mau</t>
        </is>
      </c>
      <c r="R272" t="inlineStr">
        <is>
          <t xml:space="preserve">QV </t>
        </is>
      </c>
      <c r="S272" t="n">
        <v>10</v>
      </c>
      <c r="T272" t="n">
        <v>10</v>
      </c>
      <c r="U272" t="inlineStr">
        <is>
          <t>1995-09-10</t>
        </is>
      </c>
      <c r="V272" t="inlineStr">
        <is>
          <t>1995-09-10</t>
        </is>
      </c>
      <c r="W272" t="inlineStr">
        <is>
          <t>1988-02-04</t>
        </is>
      </c>
      <c r="X272" t="inlineStr">
        <is>
          <t>1988-02-04</t>
        </is>
      </c>
      <c r="Y272" t="n">
        <v>145</v>
      </c>
      <c r="Z272" t="n">
        <v>116</v>
      </c>
      <c r="AA272" t="n">
        <v>118</v>
      </c>
      <c r="AB272" t="n">
        <v>1</v>
      </c>
      <c r="AC272" t="n">
        <v>1</v>
      </c>
      <c r="AD272" t="n">
        <v>3</v>
      </c>
      <c r="AE272" t="n">
        <v>3</v>
      </c>
      <c r="AF272" t="n">
        <v>1</v>
      </c>
      <c r="AG272" t="n">
        <v>1</v>
      </c>
      <c r="AH272" t="n">
        <v>2</v>
      </c>
      <c r="AI272" t="n">
        <v>2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HYPERLINK("http://catalog.hathitrust.org/Record/000376174","HathiTrust Record")</f>
        <v/>
      </c>
      <c r="AS272">
        <f>HYPERLINK("https://creighton-primo.hosted.exlibrisgroup.com/primo-explore/search?tab=default_tab&amp;search_scope=EVERYTHING&amp;vid=01CRU&amp;lang=en_US&amp;offset=0&amp;query=any,contains,991000952639702656","Catalog Record")</f>
        <v/>
      </c>
      <c r="AT272">
        <f>HYPERLINK("http://www.worldcat.org/oclc/12852855","WorldCat Record")</f>
        <v/>
      </c>
    </row>
    <row r="273">
      <c r="A273" t="inlineStr">
        <is>
          <t>No</t>
        </is>
      </c>
      <c r="B273" t="inlineStr">
        <is>
          <t>QV 38 S531a 1985</t>
        </is>
      </c>
      <c r="C273" t="inlineStr">
        <is>
          <t>0                      QV 0038000S  531a        1985</t>
        </is>
      </c>
      <c r="D273" t="inlineStr">
        <is>
          <t>Applied biopharmaceutics and pharmacokinetics / Leon Shargel, Andrew B.C. Yu.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Yes</t>
        </is>
      </c>
      <c r="J273" t="inlineStr">
        <is>
          <t>2</t>
        </is>
      </c>
      <c r="K273" t="inlineStr">
        <is>
          <t>Shargel, Leon, 1941-</t>
        </is>
      </c>
      <c r="L273" t="inlineStr">
        <is>
          <t>Norwalk, Conn. : Appleton-Century-Crofts, c1985.</t>
        </is>
      </c>
      <c r="M273" t="inlineStr">
        <is>
          <t>1985</t>
        </is>
      </c>
      <c r="N273" t="inlineStr">
        <is>
          <t>2nd ed.</t>
        </is>
      </c>
      <c r="O273" t="inlineStr">
        <is>
          <t>eng</t>
        </is>
      </c>
      <c r="P273" t="inlineStr">
        <is>
          <t>xxu</t>
        </is>
      </c>
      <c r="R273" t="inlineStr">
        <is>
          <t xml:space="preserve">QV </t>
        </is>
      </c>
      <c r="S273" t="n">
        <v>43</v>
      </c>
      <c r="T273" t="n">
        <v>43</v>
      </c>
      <c r="U273" t="inlineStr">
        <is>
          <t>2010-09-22</t>
        </is>
      </c>
      <c r="V273" t="inlineStr">
        <is>
          <t>2010-09-22</t>
        </is>
      </c>
      <c r="W273" t="inlineStr">
        <is>
          <t>1987-09-28</t>
        </is>
      </c>
      <c r="X273" t="inlineStr">
        <is>
          <t>1987-09-28</t>
        </is>
      </c>
      <c r="Y273" t="n">
        <v>114</v>
      </c>
      <c r="Z273" t="n">
        <v>82</v>
      </c>
      <c r="AA273" t="n">
        <v>326</v>
      </c>
      <c r="AB273" t="n">
        <v>1</v>
      </c>
      <c r="AC273" t="n">
        <v>4</v>
      </c>
      <c r="AD273" t="n">
        <v>4</v>
      </c>
      <c r="AE273" t="n">
        <v>14</v>
      </c>
      <c r="AF273" t="n">
        <v>1</v>
      </c>
      <c r="AG273" t="n">
        <v>7</v>
      </c>
      <c r="AH273" t="n">
        <v>2</v>
      </c>
      <c r="AI273" t="n">
        <v>3</v>
      </c>
      <c r="AJ273" t="n">
        <v>1</v>
      </c>
      <c r="AK273" t="n">
        <v>4</v>
      </c>
      <c r="AL273" t="n">
        <v>0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HYPERLINK("http://catalog.hathitrust.org/Record/000650518","HathiTrust Record")</f>
        <v/>
      </c>
      <c r="AS273">
        <f>HYPERLINK("https://creighton-primo.hosted.exlibrisgroup.com/primo-explore/search?tab=default_tab&amp;search_scope=EVERYTHING&amp;vid=01CRU&amp;lang=en_US&amp;offset=0&amp;query=any,contains,991000747719702656","Catalog Record")</f>
        <v/>
      </c>
      <c r="AT273">
        <f>HYPERLINK("http://www.worldcat.org/oclc/11677391","WorldCat Record")</f>
        <v/>
      </c>
    </row>
    <row r="274">
      <c r="A274" t="inlineStr">
        <is>
          <t>No</t>
        </is>
      </c>
      <c r="B274" t="inlineStr">
        <is>
          <t>QV 38 S985c 1974</t>
        </is>
      </c>
      <c r="C274" t="inlineStr">
        <is>
          <t>0                      QV 0038000S  985c        1974</t>
        </is>
      </c>
      <c r="D274" t="inlineStr">
        <is>
          <t>Clinical pharmacokinetics : a symposium / [edited by Gerhard Levy].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Symposium on Clinical Pharmacokinetics (1974 : New Orleans, La.)</t>
        </is>
      </c>
      <c r="L274" t="inlineStr">
        <is>
          <t>-- [Washington] : American Pharmaceutical Association, Academy of Pharmaceutical Sciences, 1974.</t>
        </is>
      </c>
      <c r="M274" t="inlineStr">
        <is>
          <t>1974</t>
        </is>
      </c>
      <c r="O274" t="inlineStr">
        <is>
          <t>eng</t>
        </is>
      </c>
      <c r="P274" t="inlineStr">
        <is>
          <t>dcu</t>
        </is>
      </c>
      <c r="R274" t="inlineStr">
        <is>
          <t xml:space="preserve">QV </t>
        </is>
      </c>
      <c r="S274" t="n">
        <v>4</v>
      </c>
      <c r="T274" t="n">
        <v>4</v>
      </c>
      <c r="U274" t="inlineStr">
        <is>
          <t>1994-10-06</t>
        </is>
      </c>
      <c r="V274" t="inlineStr">
        <is>
          <t>1994-10-06</t>
        </is>
      </c>
      <c r="W274" t="inlineStr">
        <is>
          <t>1988-02-04</t>
        </is>
      </c>
      <c r="X274" t="inlineStr">
        <is>
          <t>1988-02-04</t>
        </is>
      </c>
      <c r="Y274" t="n">
        <v>88</v>
      </c>
      <c r="Z274" t="n">
        <v>60</v>
      </c>
      <c r="AA274" t="n">
        <v>60</v>
      </c>
      <c r="AB274" t="n">
        <v>1</v>
      </c>
      <c r="AC274" t="n">
        <v>1</v>
      </c>
      <c r="AD274" t="n">
        <v>1</v>
      </c>
      <c r="AE274" t="n">
        <v>1</v>
      </c>
      <c r="AF274" t="n">
        <v>0</v>
      </c>
      <c r="AG274" t="n">
        <v>0</v>
      </c>
      <c r="AH274" t="n">
        <v>1</v>
      </c>
      <c r="AI274" t="n">
        <v>1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HYPERLINK("https://creighton-primo.hosted.exlibrisgroup.com/primo-explore/search?tab=default_tab&amp;search_scope=EVERYTHING&amp;vid=01CRU&amp;lang=en_US&amp;offset=0&amp;query=any,contains,991000952999702656","Catalog Record")</f>
        <v/>
      </c>
      <c r="AT274">
        <f>HYPERLINK("http://www.worldcat.org/oclc/3255329","WorldCat Record")</f>
        <v/>
      </c>
    </row>
    <row r="275">
      <c r="A275" t="inlineStr">
        <is>
          <t>No</t>
        </is>
      </c>
      <c r="B275" t="inlineStr">
        <is>
          <t>QV 38 T1855 1991</t>
        </is>
      </c>
      <c r="C275" t="inlineStr">
        <is>
          <t>0                      QV 0038000T  1855        1991</t>
        </is>
      </c>
      <c r="D275" t="inlineStr">
        <is>
          <t>Targeting of drugs 3 : the challenge of peptides and proteins / edited by Gregory Gregoriadis and Alexander T. Florence, and George Poste.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New York : Plenum Press, c1992.</t>
        </is>
      </c>
      <c r="M275" t="inlineStr">
        <is>
          <t>1992</t>
        </is>
      </c>
      <c r="O275" t="inlineStr">
        <is>
          <t>eng</t>
        </is>
      </c>
      <c r="P275" t="inlineStr">
        <is>
          <t>nyu</t>
        </is>
      </c>
      <c r="Q275" t="inlineStr">
        <is>
          <t>NATO ASI series. Series A, Life sciences ; v. 238</t>
        </is>
      </c>
      <c r="R275" t="inlineStr">
        <is>
          <t xml:space="preserve">QV </t>
        </is>
      </c>
      <c r="S275" t="n">
        <v>6</v>
      </c>
      <c r="T275" t="n">
        <v>6</v>
      </c>
      <c r="U275" t="inlineStr">
        <is>
          <t>1998-03-23</t>
        </is>
      </c>
      <c r="V275" t="inlineStr">
        <is>
          <t>1998-03-23</t>
        </is>
      </c>
      <c r="W275" t="inlineStr">
        <is>
          <t>1993-08-31</t>
        </is>
      </c>
      <c r="X275" t="inlineStr">
        <is>
          <t>1993-08-31</t>
        </is>
      </c>
      <c r="Y275" t="n">
        <v>101</v>
      </c>
      <c r="Z275" t="n">
        <v>70</v>
      </c>
      <c r="AA275" t="n">
        <v>97</v>
      </c>
      <c r="AB275" t="n">
        <v>1</v>
      </c>
      <c r="AC275" t="n">
        <v>1</v>
      </c>
      <c r="AD275" t="n">
        <v>0</v>
      </c>
      <c r="AE275" t="n">
        <v>1</v>
      </c>
      <c r="AF275" t="n">
        <v>0</v>
      </c>
      <c r="AG275" t="n">
        <v>1</v>
      </c>
      <c r="AH275" t="n">
        <v>0</v>
      </c>
      <c r="AI275" t="n">
        <v>0</v>
      </c>
      <c r="AJ275" t="n">
        <v>0</v>
      </c>
      <c r="AK275" t="n">
        <v>1</v>
      </c>
      <c r="AL275" t="n">
        <v>0</v>
      </c>
      <c r="AM275" t="n">
        <v>0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HYPERLINK("https://creighton-primo.hosted.exlibrisgroup.com/primo-explore/search?tab=default_tab&amp;search_scope=EVERYTHING&amp;vid=01CRU&amp;lang=en_US&amp;offset=0&amp;query=any,contains,991001511379702656","Catalog Record")</f>
        <v/>
      </c>
      <c r="AT275">
        <f>HYPERLINK("http://www.worldcat.org/oclc/27227749","WorldCat Record")</f>
        <v/>
      </c>
    </row>
    <row r="276">
      <c r="A276" t="inlineStr">
        <is>
          <t>No</t>
        </is>
      </c>
      <c r="B276" t="inlineStr">
        <is>
          <t>QV 38 T355 1985</t>
        </is>
      </c>
      <c r="C276" t="inlineStr">
        <is>
          <t>0                      QV 0038000T  355         1985</t>
        </is>
      </c>
      <c r="D276" t="inlineStr">
        <is>
          <t>Textbook of adverse drug reactions / edited by D.M. Davies.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Yes</t>
        </is>
      </c>
      <c r="J276" t="inlineStr">
        <is>
          <t>0</t>
        </is>
      </c>
      <c r="L276" t="inlineStr">
        <is>
          <t>Oxford ; New York : Oxford University Press, 1987 reprint, c1985.</t>
        </is>
      </c>
      <c r="M276" t="inlineStr">
        <is>
          <t>1985</t>
        </is>
      </c>
      <c r="N276" t="inlineStr">
        <is>
          <t>3rd ed.</t>
        </is>
      </c>
      <c r="O276" t="inlineStr">
        <is>
          <t>eng</t>
        </is>
      </c>
      <c r="P276" t="inlineStr">
        <is>
          <t>enk</t>
        </is>
      </c>
      <c r="Q276" t="inlineStr">
        <is>
          <t>Oxford medical publications</t>
        </is>
      </c>
      <c r="R276" t="inlineStr">
        <is>
          <t xml:space="preserve">QV </t>
        </is>
      </c>
      <c r="S276" t="n">
        <v>16</v>
      </c>
      <c r="T276" t="n">
        <v>16</v>
      </c>
      <c r="U276" t="inlineStr">
        <is>
          <t>2003-07-15</t>
        </is>
      </c>
      <c r="V276" t="inlineStr">
        <is>
          <t>2003-07-15</t>
        </is>
      </c>
      <c r="W276" t="inlineStr">
        <is>
          <t>1989-03-10</t>
        </is>
      </c>
      <c r="X276" t="inlineStr">
        <is>
          <t>1989-03-10</t>
        </is>
      </c>
      <c r="Y276" t="n">
        <v>235</v>
      </c>
      <c r="Z276" t="n">
        <v>159</v>
      </c>
      <c r="AA276" t="n">
        <v>307</v>
      </c>
      <c r="AB276" t="n">
        <v>1</v>
      </c>
      <c r="AC276" t="n">
        <v>1</v>
      </c>
      <c r="AD276" t="n">
        <v>2</v>
      </c>
      <c r="AE276" t="n">
        <v>7</v>
      </c>
      <c r="AF276" t="n">
        <v>1</v>
      </c>
      <c r="AG276" t="n">
        <v>3</v>
      </c>
      <c r="AH276" t="n">
        <v>0</v>
      </c>
      <c r="AI276" t="n">
        <v>1</v>
      </c>
      <c r="AJ276" t="n">
        <v>1</v>
      </c>
      <c r="AK276" t="n">
        <v>2</v>
      </c>
      <c r="AL276" t="n">
        <v>0</v>
      </c>
      <c r="AM276" t="n">
        <v>0</v>
      </c>
      <c r="AN276" t="n">
        <v>0</v>
      </c>
      <c r="AO276" t="n">
        <v>1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HYPERLINK("http://catalog.hathitrust.org/Record/000537243","HathiTrust Record")</f>
        <v/>
      </c>
      <c r="AS276">
        <f>HYPERLINK("https://creighton-primo.hosted.exlibrisgroup.com/primo-explore/search?tab=default_tab&amp;search_scope=EVERYTHING&amp;vid=01CRU&amp;lang=en_US&amp;offset=0&amp;query=any,contains,991001241209702656","Catalog Record")</f>
        <v/>
      </c>
      <c r="AT276">
        <f>HYPERLINK("http://www.worldcat.org/oclc/12558288","WorldCat Record")</f>
        <v/>
      </c>
    </row>
    <row r="277">
      <c r="A277" t="inlineStr">
        <is>
          <t>No</t>
        </is>
      </c>
      <c r="B277" t="inlineStr">
        <is>
          <t>QV 38 T355 1991</t>
        </is>
      </c>
      <c r="C277" t="inlineStr">
        <is>
          <t>0                      QV 0038000T  355         1991</t>
        </is>
      </c>
      <c r="D277" t="inlineStr">
        <is>
          <t>Textbook of adverse drug reactions / edited by D.M. Davies.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Yes</t>
        </is>
      </c>
      <c r="J277" t="inlineStr">
        <is>
          <t>0</t>
        </is>
      </c>
      <c r="L277" t="inlineStr">
        <is>
          <t>Oxford [Oxfordshire] ; New York : Oxford University Press, c1991.</t>
        </is>
      </c>
      <c r="M277" t="inlineStr">
        <is>
          <t>1991</t>
        </is>
      </c>
      <c r="N277" t="inlineStr">
        <is>
          <t>4th ed.</t>
        </is>
      </c>
      <c r="O277" t="inlineStr">
        <is>
          <t>eng</t>
        </is>
      </c>
      <c r="P277" t="inlineStr">
        <is>
          <t>enk</t>
        </is>
      </c>
      <c r="Q277" t="inlineStr">
        <is>
          <t>Oxford medical publications</t>
        </is>
      </c>
      <c r="R277" t="inlineStr">
        <is>
          <t xml:space="preserve">QV </t>
        </is>
      </c>
      <c r="S277" t="n">
        <v>22</v>
      </c>
      <c r="T277" t="n">
        <v>22</v>
      </c>
      <c r="U277" t="inlineStr">
        <is>
          <t>2002-08-14</t>
        </is>
      </c>
      <c r="V277" t="inlineStr">
        <is>
          <t>2002-08-14</t>
        </is>
      </c>
      <c r="W277" t="inlineStr">
        <is>
          <t>1991-11-12</t>
        </is>
      </c>
      <c r="X277" t="inlineStr">
        <is>
          <t>1991-11-12</t>
        </is>
      </c>
      <c r="Y277" t="n">
        <v>162</v>
      </c>
      <c r="Z277" t="n">
        <v>102</v>
      </c>
      <c r="AA277" t="n">
        <v>307</v>
      </c>
      <c r="AB277" t="n">
        <v>1</v>
      </c>
      <c r="AC277" t="n">
        <v>1</v>
      </c>
      <c r="AD277" t="n">
        <v>2</v>
      </c>
      <c r="AE277" t="n">
        <v>7</v>
      </c>
      <c r="AF277" t="n">
        <v>1</v>
      </c>
      <c r="AG277" t="n">
        <v>3</v>
      </c>
      <c r="AH277" t="n">
        <v>1</v>
      </c>
      <c r="AI277" t="n">
        <v>1</v>
      </c>
      <c r="AJ277" t="n">
        <v>0</v>
      </c>
      <c r="AK277" t="n">
        <v>2</v>
      </c>
      <c r="AL277" t="n">
        <v>0</v>
      </c>
      <c r="AM277" t="n">
        <v>0</v>
      </c>
      <c r="AN277" t="n">
        <v>0</v>
      </c>
      <c r="AO277" t="n">
        <v>1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HYPERLINK("http://catalog.hathitrust.org/Record/002495628","HathiTrust Record")</f>
        <v/>
      </c>
      <c r="AS277">
        <f>HYPERLINK("https://creighton-primo.hosted.exlibrisgroup.com/primo-explore/search?tab=default_tab&amp;search_scope=EVERYTHING&amp;vid=01CRU&amp;lang=en_US&amp;offset=0&amp;query=any,contains,991001021049702656","Catalog Record")</f>
        <v/>
      </c>
      <c r="AT277">
        <f>HYPERLINK("http://www.worldcat.org/oclc/26128781","WorldCat Record")</f>
        <v/>
      </c>
    </row>
    <row r="278">
      <c r="A278" t="inlineStr">
        <is>
          <t>No</t>
        </is>
      </c>
      <c r="B278" t="inlineStr">
        <is>
          <t>QV 38 W277c 1983</t>
        </is>
      </c>
      <c r="C278" t="inlineStr">
        <is>
          <t>0                      QV 0038000W  277c        1983</t>
        </is>
      </c>
      <c r="D278" t="inlineStr">
        <is>
          <t>Clinical pharmacokinetics : a modern approach to individualized drug therapy / by Joseph Wartak.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Wartak, Joseph.</t>
        </is>
      </c>
      <c r="L278" t="inlineStr">
        <is>
          <t>New York : Praeger, c1983.</t>
        </is>
      </c>
      <c r="M278" t="inlineStr">
        <is>
          <t>1983</t>
        </is>
      </c>
      <c r="O278" t="inlineStr">
        <is>
          <t>eng</t>
        </is>
      </c>
      <c r="P278" t="inlineStr">
        <is>
          <t>xxu</t>
        </is>
      </c>
      <c r="Q278" t="inlineStr">
        <is>
          <t>Clinical pharmacology and therapeutics series ; v. 2</t>
        </is>
      </c>
      <c r="R278" t="inlineStr">
        <is>
          <t xml:space="preserve">QV </t>
        </is>
      </c>
      <c r="S278" t="n">
        <v>21</v>
      </c>
      <c r="T278" t="n">
        <v>21</v>
      </c>
      <c r="U278" t="inlineStr">
        <is>
          <t>1992-09-27</t>
        </is>
      </c>
      <c r="V278" t="inlineStr">
        <is>
          <t>1992-09-27</t>
        </is>
      </c>
      <c r="W278" t="inlineStr">
        <is>
          <t>1988-02-04</t>
        </is>
      </c>
      <c r="X278" t="inlineStr">
        <is>
          <t>1988-02-04</t>
        </is>
      </c>
      <c r="Y278" t="n">
        <v>106</v>
      </c>
      <c r="Z278" t="n">
        <v>69</v>
      </c>
      <c r="AA278" t="n">
        <v>69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  <c r="AG278" t="n">
        <v>1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HYPERLINK("https://creighton-primo.hosted.exlibrisgroup.com/primo-explore/search?tab=default_tab&amp;search_scope=EVERYTHING&amp;vid=01CRU&amp;lang=en_US&amp;offset=0&amp;query=any,contains,991000953069702656","Catalog Record")</f>
        <v/>
      </c>
      <c r="AT278">
        <f>HYPERLINK("http://www.worldcat.org/oclc/8846301","WorldCat Record")</f>
        <v/>
      </c>
    </row>
    <row r="279">
      <c r="A279" t="inlineStr">
        <is>
          <t>No</t>
        </is>
      </c>
      <c r="B279" t="inlineStr">
        <is>
          <t>QV 38 W786b 1994</t>
        </is>
      </c>
      <c r="C279" t="inlineStr">
        <is>
          <t>0                      QV 0038000W  786b        1994</t>
        </is>
      </c>
      <c r="D279" t="inlineStr">
        <is>
          <t>Basic clinical pharmacokinetics / Michael E. Winter ; edited by Mary Anne Koda-Kimble, Lloyd Y. Young.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Yes</t>
        </is>
      </c>
      <c r="J279" t="inlineStr">
        <is>
          <t>0</t>
        </is>
      </c>
      <c r="K279" t="inlineStr">
        <is>
          <t>Winter, Michael E.</t>
        </is>
      </c>
      <c r="L279" t="inlineStr">
        <is>
          <t>Vancouver, WA : Applied Therapeutics, c1994.</t>
        </is>
      </c>
      <c r="M279" t="inlineStr">
        <is>
          <t>1994</t>
        </is>
      </c>
      <c r="N279" t="inlineStr">
        <is>
          <t>3rd ed.</t>
        </is>
      </c>
      <c r="O279" t="inlineStr">
        <is>
          <t>eng</t>
        </is>
      </c>
      <c r="P279" t="inlineStr">
        <is>
          <t>wau</t>
        </is>
      </c>
      <c r="R279" t="inlineStr">
        <is>
          <t xml:space="preserve">QV </t>
        </is>
      </c>
      <c r="S279" t="n">
        <v>63</v>
      </c>
      <c r="T279" t="n">
        <v>63</v>
      </c>
      <c r="U279" t="inlineStr">
        <is>
          <t>2007-07-30</t>
        </is>
      </c>
      <c r="V279" t="inlineStr">
        <is>
          <t>2007-07-30</t>
        </is>
      </c>
      <c r="W279" t="inlineStr">
        <is>
          <t>1995-01-05</t>
        </is>
      </c>
      <c r="X279" t="inlineStr">
        <is>
          <t>1995-01-05</t>
        </is>
      </c>
      <c r="Y279" t="n">
        <v>97</v>
      </c>
      <c r="Z279" t="n">
        <v>66</v>
      </c>
      <c r="AA279" t="n">
        <v>242</v>
      </c>
      <c r="AB279" t="n">
        <v>1</v>
      </c>
      <c r="AC279" t="n">
        <v>3</v>
      </c>
      <c r="AD279" t="n">
        <v>2</v>
      </c>
      <c r="AE279" t="n">
        <v>11</v>
      </c>
      <c r="AF279" t="n">
        <v>1</v>
      </c>
      <c r="AG279" t="n">
        <v>6</v>
      </c>
      <c r="AH279" t="n">
        <v>1</v>
      </c>
      <c r="AI279" t="n">
        <v>3</v>
      </c>
      <c r="AJ279" t="n">
        <v>0</v>
      </c>
      <c r="AK279" t="n">
        <v>2</v>
      </c>
      <c r="AL279" t="n">
        <v>0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HYPERLINK("http://catalog.hathitrust.org/Record/002875626","HathiTrust Record")</f>
        <v/>
      </c>
      <c r="AS279">
        <f>HYPERLINK("https://creighton-primo.hosted.exlibrisgroup.com/primo-explore/search?tab=default_tab&amp;search_scope=EVERYTHING&amp;vid=01CRU&amp;lang=en_US&amp;offset=0&amp;query=any,contains,991000684219702656","Catalog Record")</f>
        <v/>
      </c>
      <c r="AT279">
        <f>HYPERLINK("http://www.worldcat.org/oclc/30964072","WorldCat Record")</f>
        <v/>
      </c>
    </row>
    <row r="280">
      <c r="A280" t="inlineStr">
        <is>
          <t>No</t>
        </is>
      </c>
      <c r="B280" t="inlineStr">
        <is>
          <t>QV 38.3 C752c 1979</t>
        </is>
      </c>
      <c r="C280" t="inlineStr">
        <is>
          <t>0                      QV 0038300C  752c        1979</t>
        </is>
      </c>
      <c r="D280" t="inlineStr">
        <is>
          <t>Chemical stability of pharmaceuticals : a handbook for pharmacists / Kenneth A. Connors, Gordon L. Amidon, Lloyd Kennon.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Connors, Kenneth A. (Kenneth Antonio), 1932-</t>
        </is>
      </c>
      <c r="L280" t="inlineStr">
        <is>
          <t>-- New York : Wiley, c1979.</t>
        </is>
      </c>
      <c r="M280" t="inlineStr">
        <is>
          <t>1978</t>
        </is>
      </c>
      <c r="O280" t="inlineStr">
        <is>
          <t>eng</t>
        </is>
      </c>
      <c r="P280" t="inlineStr">
        <is>
          <t>nyu</t>
        </is>
      </c>
      <c r="Q280" t="inlineStr">
        <is>
          <t>Wiley-Interscience publication</t>
        </is>
      </c>
      <c r="R280" t="inlineStr">
        <is>
          <t xml:space="preserve">QV </t>
        </is>
      </c>
      <c r="S280" t="n">
        <v>6</v>
      </c>
      <c r="T280" t="n">
        <v>6</v>
      </c>
      <c r="U280" t="inlineStr">
        <is>
          <t>1994-07-05</t>
        </is>
      </c>
      <c r="V280" t="inlineStr">
        <is>
          <t>1994-07-05</t>
        </is>
      </c>
      <c r="W280" t="inlineStr">
        <is>
          <t>1988-03-23</t>
        </is>
      </c>
      <c r="X280" t="inlineStr">
        <is>
          <t>1988-03-23</t>
        </is>
      </c>
      <c r="Y280" t="n">
        <v>205</v>
      </c>
      <c r="Z280" t="n">
        <v>136</v>
      </c>
      <c r="AA280" t="n">
        <v>197</v>
      </c>
      <c r="AB280" t="n">
        <v>2</v>
      </c>
      <c r="AC280" t="n">
        <v>3</v>
      </c>
      <c r="AD280" t="n">
        <v>4</v>
      </c>
      <c r="AE280" t="n">
        <v>8</v>
      </c>
      <c r="AF280" t="n">
        <v>1</v>
      </c>
      <c r="AG280" t="n">
        <v>3</v>
      </c>
      <c r="AH280" t="n">
        <v>1</v>
      </c>
      <c r="AI280" t="n">
        <v>2</v>
      </c>
      <c r="AJ280" t="n">
        <v>1</v>
      </c>
      <c r="AK280" t="n">
        <v>2</v>
      </c>
      <c r="AL280" t="n">
        <v>1</v>
      </c>
      <c r="AM280" t="n">
        <v>2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HYPERLINK("http://catalog.hathitrust.org/Record/000092840","HathiTrust Record")</f>
        <v/>
      </c>
      <c r="AS280">
        <f>HYPERLINK("https://creighton-primo.hosted.exlibrisgroup.com/primo-explore/search?tab=default_tab&amp;search_scope=EVERYTHING&amp;vid=01CRU&amp;lang=en_US&amp;offset=0&amp;query=any,contains,991001483269702656","Catalog Record")</f>
        <v/>
      </c>
      <c r="AT280">
        <f>HYPERLINK("http://www.worldcat.org/oclc/3649703","WorldCat Record")</f>
        <v/>
      </c>
    </row>
    <row r="281">
      <c r="A281" t="inlineStr">
        <is>
          <t>No</t>
        </is>
      </c>
      <c r="B281" t="inlineStr">
        <is>
          <t>QV 39 A798a 2009</t>
        </is>
      </c>
      <c r="C281" t="inlineStr">
        <is>
          <t>0                      QV 0039000A  798a        2009</t>
        </is>
      </c>
      <c r="D281" t="inlineStr">
        <is>
          <t>Antiepileptic drugs : a clinician's manual / Ali A. Asadi-Pooya, Michael R. Sperling.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1</t>
        </is>
      </c>
      <c r="K281" t="inlineStr">
        <is>
          <t>Asadi-Pooya, Ali A., 1973-</t>
        </is>
      </c>
      <c r="L281" t="inlineStr">
        <is>
          <t>Oxford ; New York : Oxford University Press, c2009.</t>
        </is>
      </c>
      <c r="M281" t="inlineStr">
        <is>
          <t>2009</t>
        </is>
      </c>
      <c r="O281" t="inlineStr">
        <is>
          <t>eng</t>
        </is>
      </c>
      <c r="P281" t="inlineStr">
        <is>
          <t>enk</t>
        </is>
      </c>
      <c r="Q281" t="inlineStr">
        <is>
          <t>Oxford American neurology library</t>
        </is>
      </c>
      <c r="R281" t="inlineStr">
        <is>
          <t xml:space="preserve">QV </t>
        </is>
      </c>
      <c r="S281" t="n">
        <v>0</v>
      </c>
      <c r="T281" t="n">
        <v>0</v>
      </c>
      <c r="U281" t="inlineStr">
        <is>
          <t>2009-06-30</t>
        </is>
      </c>
      <c r="V281" t="inlineStr">
        <is>
          <t>2009-06-30</t>
        </is>
      </c>
      <c r="W281" t="inlineStr">
        <is>
          <t>2009-06-29</t>
        </is>
      </c>
      <c r="X281" t="inlineStr">
        <is>
          <t>2009-06-29</t>
        </is>
      </c>
      <c r="Y281" t="n">
        <v>41</v>
      </c>
      <c r="Z281" t="n">
        <v>20</v>
      </c>
      <c r="AA281" t="n">
        <v>747</v>
      </c>
      <c r="AB281" t="n">
        <v>1</v>
      </c>
      <c r="AC281" t="n">
        <v>12</v>
      </c>
      <c r="AD281" t="n">
        <v>1</v>
      </c>
      <c r="AE281" t="n">
        <v>35</v>
      </c>
      <c r="AF281" t="n">
        <v>0</v>
      </c>
      <c r="AG281" t="n">
        <v>10</v>
      </c>
      <c r="AH281" t="n">
        <v>0</v>
      </c>
      <c r="AI281" t="n">
        <v>9</v>
      </c>
      <c r="AJ281" t="n">
        <v>1</v>
      </c>
      <c r="AK281" t="n">
        <v>10</v>
      </c>
      <c r="AL281" t="n">
        <v>0</v>
      </c>
      <c r="AM281" t="n">
        <v>10</v>
      </c>
      <c r="AN281" t="n">
        <v>0</v>
      </c>
      <c r="AO281" t="n">
        <v>1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HYPERLINK("https://creighton-primo.hosted.exlibrisgroup.com/primo-explore/search?tab=default_tab&amp;search_scope=EVERYTHING&amp;vid=01CRU&amp;lang=en_US&amp;offset=0&amp;query=any,contains,991001474979702656","Catalog Record")</f>
        <v/>
      </c>
      <c r="AT281">
        <f>HYPERLINK("http://www.worldcat.org/oclc/180195560","WorldCat Record")</f>
        <v/>
      </c>
    </row>
    <row r="282">
      <c r="A282" t="inlineStr">
        <is>
          <t>No</t>
        </is>
      </c>
      <c r="B282" t="inlineStr">
        <is>
          <t>QV 39 B477m 1985</t>
        </is>
      </c>
      <c r="C282" t="inlineStr">
        <is>
          <t>0                      QV 0039000B  477m        1985</t>
        </is>
      </c>
      <c r="D282" t="inlineStr">
        <is>
          <t>Medical pharmacology / Peter J. Bentley.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Yes</t>
        </is>
      </c>
      <c r="J282" t="inlineStr">
        <is>
          <t>0</t>
        </is>
      </c>
      <c r="K282" t="inlineStr">
        <is>
          <t>Bentley, P. J.</t>
        </is>
      </c>
      <c r="L282" t="inlineStr">
        <is>
          <t>[New Hyde Park, N.Y.] : Medical Examination Pub. Co., c1985.</t>
        </is>
      </c>
      <c r="M282" t="inlineStr">
        <is>
          <t>1985</t>
        </is>
      </c>
      <c r="N282" t="inlineStr">
        <is>
          <t>2nd ed.</t>
        </is>
      </c>
      <c r="O282" t="inlineStr">
        <is>
          <t>eng</t>
        </is>
      </c>
      <c r="P282" t="inlineStr">
        <is>
          <t>xxu</t>
        </is>
      </c>
      <c r="Q282" t="inlineStr">
        <is>
          <t>Medical outline series</t>
        </is>
      </c>
      <c r="R282" t="inlineStr">
        <is>
          <t xml:space="preserve">QV </t>
        </is>
      </c>
      <c r="S282" t="n">
        <v>11</v>
      </c>
      <c r="T282" t="n">
        <v>11</v>
      </c>
      <c r="U282" t="inlineStr">
        <is>
          <t>1991-01-18</t>
        </is>
      </c>
      <c r="V282" t="inlineStr">
        <is>
          <t>1991-01-18</t>
        </is>
      </c>
      <c r="W282" t="inlineStr">
        <is>
          <t>1988-01-11</t>
        </is>
      </c>
      <c r="X282" t="inlineStr">
        <is>
          <t>1988-01-11</t>
        </is>
      </c>
      <c r="Y282" t="n">
        <v>64</v>
      </c>
      <c r="Z282" t="n">
        <v>58</v>
      </c>
      <c r="AA282" t="n">
        <v>77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  <c r="AG282" t="n">
        <v>1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HYPERLINK("http://catalog.hathitrust.org/Record/000482251","HathiTrust Record")</f>
        <v/>
      </c>
      <c r="AS282">
        <f>HYPERLINK("https://creighton-primo.hosted.exlibrisgroup.com/primo-explore/search?tab=default_tab&amp;search_scope=EVERYTHING&amp;vid=01CRU&amp;lang=en_US&amp;offset=0&amp;query=any,contains,991000914749702656","Catalog Record")</f>
        <v/>
      </c>
      <c r="AT282">
        <f>HYPERLINK("http://www.worldcat.org/oclc/12082491","WorldCat Record")</f>
        <v/>
      </c>
    </row>
    <row r="283">
      <c r="A283" t="inlineStr">
        <is>
          <t>No</t>
        </is>
      </c>
      <c r="B283" t="inlineStr">
        <is>
          <t>QV 39 C594h 1999</t>
        </is>
      </c>
      <c r="C283" t="inlineStr">
        <is>
          <t>0                      QV 0039000C  594h        1999</t>
        </is>
      </c>
      <c r="D283" t="inlineStr">
        <is>
          <t>Handbook of nitrous oxide and oxygen sedation / Morris S. Clark, Ann L. Brunick.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Yes</t>
        </is>
      </c>
      <c r="J283" t="inlineStr">
        <is>
          <t>0</t>
        </is>
      </c>
      <c r="K283" t="inlineStr">
        <is>
          <t>Clark, Morris S.</t>
        </is>
      </c>
      <c r="L283" t="inlineStr">
        <is>
          <t>St. Louis, Mo. : Mosby, c1999.</t>
        </is>
      </c>
      <c r="M283" t="inlineStr">
        <is>
          <t>1999</t>
        </is>
      </c>
      <c r="O283" t="inlineStr">
        <is>
          <t>eng</t>
        </is>
      </c>
      <c r="P283" t="inlineStr">
        <is>
          <t>mou</t>
        </is>
      </c>
      <c r="R283" t="inlineStr">
        <is>
          <t xml:space="preserve">QV </t>
        </is>
      </c>
      <c r="S283" t="n">
        <v>10</v>
      </c>
      <c r="T283" t="n">
        <v>10</v>
      </c>
      <c r="U283" t="inlineStr">
        <is>
          <t>2006-03-29</t>
        </is>
      </c>
      <c r="V283" t="inlineStr">
        <is>
          <t>2006-03-29</t>
        </is>
      </c>
      <c r="W283" t="inlineStr">
        <is>
          <t>1999-09-03</t>
        </is>
      </c>
      <c r="X283" t="inlineStr">
        <is>
          <t>1999-09-03</t>
        </is>
      </c>
      <c r="Y283" t="n">
        <v>110</v>
      </c>
      <c r="Z283" t="n">
        <v>75</v>
      </c>
      <c r="AA283" t="n">
        <v>316</v>
      </c>
      <c r="AB283" t="n">
        <v>2</v>
      </c>
      <c r="AC283" t="n">
        <v>4</v>
      </c>
      <c r="AD283" t="n">
        <v>4</v>
      </c>
      <c r="AE283" t="n">
        <v>7</v>
      </c>
      <c r="AF283" t="n">
        <v>0</v>
      </c>
      <c r="AG283" t="n">
        <v>0</v>
      </c>
      <c r="AH283" t="n">
        <v>2</v>
      </c>
      <c r="AI283" t="n">
        <v>3</v>
      </c>
      <c r="AJ283" t="n">
        <v>2</v>
      </c>
      <c r="AK283" t="n">
        <v>2</v>
      </c>
      <c r="AL283" t="n">
        <v>1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HYPERLINK("http://catalog.hathitrust.org/Record/003314902","HathiTrust Record")</f>
        <v/>
      </c>
      <c r="AS283">
        <f>HYPERLINK("https://creighton-primo.hosted.exlibrisgroup.com/primo-explore/search?tab=default_tab&amp;search_scope=EVERYTHING&amp;vid=01CRU&amp;lang=en_US&amp;offset=0&amp;query=any,contains,991001564959702656","Catalog Record")</f>
        <v/>
      </c>
      <c r="AT283">
        <f>HYPERLINK("http://www.worldcat.org/oclc/39282366","WorldCat Record")</f>
        <v/>
      </c>
    </row>
    <row r="284">
      <c r="A284" t="inlineStr">
        <is>
          <t>No</t>
        </is>
      </c>
      <c r="B284" t="inlineStr">
        <is>
          <t>QV39 C594h 2003</t>
        </is>
      </c>
      <c r="C284" t="inlineStr">
        <is>
          <t>0                      QV 0039000C  594h        2003</t>
        </is>
      </c>
      <c r="D284" t="inlineStr">
        <is>
          <t>Handbook of nitrous oxide and oxygen sedation / Morris Clark, Ann Brunick.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Yes</t>
        </is>
      </c>
      <c r="J284" t="inlineStr">
        <is>
          <t>0</t>
        </is>
      </c>
      <c r="K284" t="inlineStr">
        <is>
          <t>Clark, Morris S.</t>
        </is>
      </c>
      <c r="L284" t="inlineStr">
        <is>
          <t>St. Louis, Mo. : Mosby, c2003.</t>
        </is>
      </c>
      <c r="M284" t="inlineStr">
        <is>
          <t>2003</t>
        </is>
      </c>
      <c r="N284" t="inlineStr">
        <is>
          <t>2nd ed.</t>
        </is>
      </c>
      <c r="O284" t="inlineStr">
        <is>
          <t>eng</t>
        </is>
      </c>
      <c r="P284" t="inlineStr">
        <is>
          <t>mou</t>
        </is>
      </c>
      <c r="R284" t="inlineStr">
        <is>
          <t xml:space="preserve">QV </t>
        </is>
      </c>
      <c r="S284" t="n">
        <v>5</v>
      </c>
      <c r="T284" t="n">
        <v>5</v>
      </c>
      <c r="U284" t="inlineStr">
        <is>
          <t>2010-07-14</t>
        </is>
      </c>
      <c r="V284" t="inlineStr">
        <is>
          <t>2010-07-14</t>
        </is>
      </c>
      <c r="W284" t="inlineStr">
        <is>
          <t>2004-08-24</t>
        </is>
      </c>
      <c r="X284" t="inlineStr">
        <is>
          <t>2004-08-24</t>
        </is>
      </c>
      <c r="Y284" t="n">
        <v>121</v>
      </c>
      <c r="Z284" t="n">
        <v>89</v>
      </c>
      <c r="AA284" t="n">
        <v>316</v>
      </c>
      <c r="AB284" t="n">
        <v>2</v>
      </c>
      <c r="AC284" t="n">
        <v>4</v>
      </c>
      <c r="AD284" t="n">
        <v>3</v>
      </c>
      <c r="AE284" t="n">
        <v>7</v>
      </c>
      <c r="AF284" t="n">
        <v>0</v>
      </c>
      <c r="AG284" t="n">
        <v>0</v>
      </c>
      <c r="AH284" t="n">
        <v>1</v>
      </c>
      <c r="AI284" t="n">
        <v>3</v>
      </c>
      <c r="AJ284" t="n">
        <v>2</v>
      </c>
      <c r="AK284" t="n">
        <v>2</v>
      </c>
      <c r="AL284" t="n">
        <v>1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HYPERLINK("http://catalog.hathitrust.org/Record/004338276","HathiTrust Record")</f>
        <v/>
      </c>
      <c r="AS284">
        <f>HYPERLINK("https://creighton-primo.hosted.exlibrisgroup.com/primo-explore/search?tab=default_tab&amp;search_scope=EVERYTHING&amp;vid=01CRU&amp;lang=en_US&amp;offset=0&amp;query=any,contains,991000377319702656","Catalog Record")</f>
        <v/>
      </c>
      <c r="AT284">
        <f>HYPERLINK("http://www.worldcat.org/oclc/51811294","WorldCat Record")</f>
        <v/>
      </c>
    </row>
    <row r="285">
      <c r="A285" t="inlineStr">
        <is>
          <t>No</t>
        </is>
      </c>
      <c r="B285" t="inlineStr">
        <is>
          <t>QV 39 C6415 1988</t>
        </is>
      </c>
      <c r="C285" t="inlineStr">
        <is>
          <t>0                      QV 0039000C  6415        1988</t>
        </is>
      </c>
      <c r="D285" t="inlineStr">
        <is>
          <t>Clinical pharmacology, '88/'89 / edited by Bertram G. Katzung.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Norwalk, Conn. : Appleton &amp; Lange, c1988.</t>
        </is>
      </c>
      <c r="M285" t="inlineStr">
        <is>
          <t>1988</t>
        </is>
      </c>
      <c r="O285" t="inlineStr">
        <is>
          <t>eng</t>
        </is>
      </c>
      <c r="P285" t="inlineStr">
        <is>
          <t>ctu</t>
        </is>
      </c>
      <c r="Q285" t="inlineStr">
        <is>
          <t>Lange clinical manual</t>
        </is>
      </c>
      <c r="R285" t="inlineStr">
        <is>
          <t xml:space="preserve">QV </t>
        </is>
      </c>
      <c r="S285" t="n">
        <v>1</v>
      </c>
      <c r="T285" t="n">
        <v>1</v>
      </c>
      <c r="U285" t="inlineStr">
        <is>
          <t>1993-01-24</t>
        </is>
      </c>
      <c r="V285" t="inlineStr">
        <is>
          <t>1993-01-24</t>
        </is>
      </c>
      <c r="W285" t="inlineStr">
        <is>
          <t>1989-02-04</t>
        </is>
      </c>
      <c r="X285" t="inlineStr">
        <is>
          <t>1989-02-04</t>
        </is>
      </c>
      <c r="Y285" t="n">
        <v>53</v>
      </c>
      <c r="Z285" t="n">
        <v>42</v>
      </c>
      <c r="AA285" t="n">
        <v>43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  <c r="AG285" t="n">
        <v>1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HYPERLINK("https://creighton-primo.hosted.exlibrisgroup.com/primo-explore/search?tab=default_tab&amp;search_scope=EVERYTHING&amp;vid=01CRU&amp;lang=en_US&amp;offset=0&amp;query=any,contains,991001117079702656","Catalog Record")</f>
        <v/>
      </c>
      <c r="AT285">
        <f>HYPERLINK("http://www.worldcat.org/oclc/17727920","WorldCat Record")</f>
        <v/>
      </c>
    </row>
    <row r="286">
      <c r="A286" t="inlineStr">
        <is>
          <t>No</t>
        </is>
      </c>
      <c r="B286" t="inlineStr">
        <is>
          <t>QV 39 C761m 1992</t>
        </is>
      </c>
      <c r="C286" t="inlineStr">
        <is>
          <t>0                      QV 0039000C  761m        1992</t>
        </is>
      </c>
      <c r="D286" t="inlineStr">
        <is>
          <t>Manual of antibiotics and infectious diseases / John E. Conte, Jr., Steven L. Barriere.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Conte, John E.</t>
        </is>
      </c>
      <c r="L286" t="inlineStr">
        <is>
          <t>Philadelphia : Lea &amp; Febiger, c1992.</t>
        </is>
      </c>
      <c r="M286" t="inlineStr">
        <is>
          <t>1992</t>
        </is>
      </c>
      <c r="N286" t="inlineStr">
        <is>
          <t>7th ed.</t>
        </is>
      </c>
      <c r="O286" t="inlineStr">
        <is>
          <t>eng</t>
        </is>
      </c>
      <c r="P286" t="inlineStr">
        <is>
          <t>xxu</t>
        </is>
      </c>
      <c r="R286" t="inlineStr">
        <is>
          <t xml:space="preserve">QV </t>
        </is>
      </c>
      <c r="S286" t="n">
        <v>7</v>
      </c>
      <c r="T286" t="n">
        <v>7</v>
      </c>
      <c r="U286" t="inlineStr">
        <is>
          <t>1999-11-04</t>
        </is>
      </c>
      <c r="V286" t="inlineStr">
        <is>
          <t>1999-11-04</t>
        </is>
      </c>
      <c r="W286" t="inlineStr">
        <is>
          <t>1992-04-07</t>
        </is>
      </c>
      <c r="X286" t="inlineStr">
        <is>
          <t>1992-04-07</t>
        </is>
      </c>
      <c r="Y286" t="n">
        <v>208</v>
      </c>
      <c r="Z286" t="n">
        <v>169</v>
      </c>
      <c r="AA286" t="n">
        <v>504</v>
      </c>
      <c r="AB286" t="n">
        <v>1</v>
      </c>
      <c r="AC286" t="n">
        <v>1</v>
      </c>
      <c r="AD286" t="n">
        <v>2</v>
      </c>
      <c r="AE286" t="n">
        <v>9</v>
      </c>
      <c r="AF286" t="n">
        <v>1</v>
      </c>
      <c r="AG286" t="n">
        <v>6</v>
      </c>
      <c r="AH286" t="n">
        <v>1</v>
      </c>
      <c r="AI286" t="n">
        <v>3</v>
      </c>
      <c r="AJ286" t="n">
        <v>0</v>
      </c>
      <c r="AK286" t="n">
        <v>3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HYPERLINK("http://catalog.hathitrust.org/Record/002525429","HathiTrust Record")</f>
        <v/>
      </c>
      <c r="AS286">
        <f>HYPERLINK("https://creighton-primo.hosted.exlibrisgroup.com/primo-explore/search?tab=default_tab&amp;search_scope=EVERYTHING&amp;vid=01CRU&amp;lang=en_US&amp;offset=0&amp;query=any,contains,991001301279702656","Catalog Record")</f>
        <v/>
      </c>
      <c r="AT286">
        <f>HYPERLINK("http://www.worldcat.org/oclc/24068929","WorldCat Record")</f>
        <v/>
      </c>
    </row>
    <row r="287">
      <c r="A287" t="inlineStr">
        <is>
          <t>No</t>
        </is>
      </c>
      <c r="B287" t="inlineStr">
        <is>
          <t>QV 39 D575h 1996</t>
        </is>
      </c>
      <c r="C287" t="inlineStr">
        <is>
          <t>0                      QV 0039000D  575h        1996</t>
        </is>
      </c>
      <c r="D287" t="inlineStr">
        <is>
          <t>Handbook of commonly prescribed drugs / G. John DiGregorio, Edward J. Barbieri.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Yes</t>
        </is>
      </c>
      <c r="J287" t="inlineStr">
        <is>
          <t>0</t>
        </is>
      </c>
      <c r="K287" t="inlineStr">
        <is>
          <t>DiGregorio, G. John.</t>
        </is>
      </c>
      <c r="L287" t="inlineStr">
        <is>
          <t>West Chester, PA : Medical Surveillance Inc., 1996.</t>
        </is>
      </c>
      <c r="M287" t="inlineStr">
        <is>
          <t>1996</t>
        </is>
      </c>
      <c r="N287" t="inlineStr">
        <is>
          <t>11th ed.</t>
        </is>
      </c>
      <c r="O287" t="inlineStr">
        <is>
          <t>eng</t>
        </is>
      </c>
      <c r="P287" t="inlineStr">
        <is>
          <t>pau</t>
        </is>
      </c>
      <c r="R287" t="inlineStr">
        <is>
          <t xml:space="preserve">QV </t>
        </is>
      </c>
      <c r="S287" t="n">
        <v>3</v>
      </c>
      <c r="T287" t="n">
        <v>3</v>
      </c>
      <c r="U287" t="inlineStr">
        <is>
          <t>2005-12-01</t>
        </is>
      </c>
      <c r="V287" t="inlineStr">
        <is>
          <t>2005-12-01</t>
        </is>
      </c>
      <c r="W287" t="inlineStr">
        <is>
          <t>1998-08-04</t>
        </is>
      </c>
      <c r="X287" t="inlineStr">
        <is>
          <t>1998-08-04</t>
        </is>
      </c>
      <c r="Y287" t="n">
        <v>27</v>
      </c>
      <c r="Z287" t="n">
        <v>25</v>
      </c>
      <c r="AA287" t="n">
        <v>158</v>
      </c>
      <c r="AB287" t="n">
        <v>1</v>
      </c>
      <c r="AC287" t="n">
        <v>1</v>
      </c>
      <c r="AD287" t="n">
        <v>0</v>
      </c>
      <c r="AE287" t="n">
        <v>2</v>
      </c>
      <c r="AF287" t="n">
        <v>0</v>
      </c>
      <c r="AG287" t="n">
        <v>2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HYPERLINK("http://catalog.hathitrust.org/Record/003082615","HathiTrust Record")</f>
        <v/>
      </c>
      <c r="AS287">
        <f>HYPERLINK("https://creighton-primo.hosted.exlibrisgroup.com/primo-explore/search?tab=default_tab&amp;search_scope=EVERYTHING&amp;vid=01CRU&amp;lang=en_US&amp;offset=0&amp;query=any,contains,991001047479702656","Catalog Record")</f>
        <v/>
      </c>
      <c r="AT287">
        <f>HYPERLINK("http://www.worldcat.org/oclc/35112777","WorldCat Record")</f>
        <v/>
      </c>
    </row>
    <row r="288">
      <c r="A288" t="inlineStr">
        <is>
          <t>No</t>
        </is>
      </c>
      <c r="B288" t="inlineStr">
        <is>
          <t>QV 39 D771h 1987</t>
        </is>
      </c>
      <c r="C288" t="inlineStr">
        <is>
          <t>0                      QV 0039000D  771h        1987</t>
        </is>
      </c>
      <c r="D288" t="inlineStr">
        <is>
          <t>Handbook of poisoning : prevention, diagnosis &amp; treatment / Robert H. Dreisbach, William O. Robertson.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Yes</t>
        </is>
      </c>
      <c r="J288" t="inlineStr">
        <is>
          <t>0</t>
        </is>
      </c>
      <c r="K288" t="inlineStr">
        <is>
          <t>Dreisbach, Robert H. (Robert Hastings), 1916-</t>
        </is>
      </c>
      <c r="L288" t="inlineStr">
        <is>
          <t>Norwalk, Conn. : Appleton &amp; Lange, c1987.</t>
        </is>
      </c>
      <c r="M288" t="inlineStr">
        <is>
          <t>1987</t>
        </is>
      </c>
      <c r="N288" t="inlineStr">
        <is>
          <t>12th ed.</t>
        </is>
      </c>
      <c r="O288" t="inlineStr">
        <is>
          <t>eng</t>
        </is>
      </c>
      <c r="P288" t="inlineStr">
        <is>
          <t>ctu</t>
        </is>
      </c>
      <c r="Q288" t="inlineStr">
        <is>
          <t>A Concise medical library for practitioner and student.</t>
        </is>
      </c>
      <c r="R288" t="inlineStr">
        <is>
          <t xml:space="preserve">QV </t>
        </is>
      </c>
      <c r="S288" t="n">
        <v>32</v>
      </c>
      <c r="T288" t="n">
        <v>32</v>
      </c>
      <c r="U288" t="inlineStr">
        <is>
          <t>1996-10-20</t>
        </is>
      </c>
      <c r="V288" t="inlineStr">
        <is>
          <t>1996-10-20</t>
        </is>
      </c>
      <c r="W288" t="inlineStr">
        <is>
          <t>1987-08-21</t>
        </is>
      </c>
      <c r="X288" t="inlineStr">
        <is>
          <t>1987-08-21</t>
        </is>
      </c>
      <c r="Y288" t="n">
        <v>667</v>
      </c>
      <c r="Z288" t="n">
        <v>538</v>
      </c>
      <c r="AA288" t="n">
        <v>1136</v>
      </c>
      <c r="AB288" t="n">
        <v>2</v>
      </c>
      <c r="AC288" t="n">
        <v>7</v>
      </c>
      <c r="AD288" t="n">
        <v>3</v>
      </c>
      <c r="AE288" t="n">
        <v>15</v>
      </c>
      <c r="AF288" t="n">
        <v>1</v>
      </c>
      <c r="AG288" t="n">
        <v>5</v>
      </c>
      <c r="AH288" t="n">
        <v>1</v>
      </c>
      <c r="AI288" t="n">
        <v>4</v>
      </c>
      <c r="AJ288" t="n">
        <v>2</v>
      </c>
      <c r="AK288" t="n">
        <v>7</v>
      </c>
      <c r="AL288" t="n">
        <v>0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HYPERLINK("http://catalog.hathitrust.org/Record/000825676","HathiTrust Record")</f>
        <v/>
      </c>
      <c r="AS288">
        <f>HYPERLINK("https://creighton-primo.hosted.exlibrisgroup.com/primo-explore/search?tab=default_tab&amp;search_scope=EVERYTHING&amp;vid=01CRU&amp;lang=en_US&amp;offset=0&amp;query=any,contains,991000587099702656","Catalog Record")</f>
        <v/>
      </c>
      <c r="AT288">
        <f>HYPERLINK("http://www.worldcat.org/oclc/16709934","WorldCat Record")</f>
        <v/>
      </c>
    </row>
    <row r="289">
      <c r="A289" t="inlineStr">
        <is>
          <t>No</t>
        </is>
      </c>
      <c r="B289" t="inlineStr">
        <is>
          <t>QV39 D781 2003</t>
        </is>
      </c>
      <c r="C289" t="inlineStr">
        <is>
          <t>0                      QV 0039000D  781         2003</t>
        </is>
      </c>
      <c r="D289" t="inlineStr">
        <is>
          <t>Drug information handbook for the allied health professional with indication/therapeutic category index / Leonard L. Lance, senior editor ; Charles F. Lacy, editor.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L289" t="inlineStr">
        <is>
          <t>Hudson, OH : Lexi-Comp, Inc. ; [Washington, D.C.] : American Pharmaceutical Association, c2003.</t>
        </is>
      </c>
      <c r="M289" t="inlineStr">
        <is>
          <t>2003</t>
        </is>
      </c>
      <c r="N289" t="inlineStr">
        <is>
          <t>10th ed.</t>
        </is>
      </c>
      <c r="O289" t="inlineStr">
        <is>
          <t>eng</t>
        </is>
      </c>
      <c r="P289" t="inlineStr">
        <is>
          <t>ohu</t>
        </is>
      </c>
      <c r="Q289" t="inlineStr">
        <is>
          <t>Drug information series (Lexi-Comp, Inc.)</t>
        </is>
      </c>
      <c r="R289" t="inlineStr">
        <is>
          <t xml:space="preserve">QV </t>
        </is>
      </c>
      <c r="S289" t="n">
        <v>1</v>
      </c>
      <c r="T289" t="n">
        <v>1</v>
      </c>
      <c r="U289" t="inlineStr">
        <is>
          <t>2007-12-04</t>
        </is>
      </c>
      <c r="V289" t="inlineStr">
        <is>
          <t>2007-12-04</t>
        </is>
      </c>
      <c r="W289" t="inlineStr">
        <is>
          <t>2004-04-02</t>
        </is>
      </c>
      <c r="X289" t="inlineStr">
        <is>
          <t>2004-04-02</t>
        </is>
      </c>
      <c r="Y289" t="n">
        <v>15</v>
      </c>
      <c r="Z289" t="n">
        <v>13</v>
      </c>
      <c r="AA289" t="n">
        <v>56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HYPERLINK("http://catalog.hathitrust.org/Record/004321156","HathiTrust Record")</f>
        <v/>
      </c>
      <c r="AS289">
        <f>HYPERLINK("https://creighton-primo.hosted.exlibrisgroup.com/primo-explore/search?tab=default_tab&amp;search_scope=EVERYTHING&amp;vid=01CRU&amp;lang=en_US&amp;offset=0&amp;query=any,contains,991000369619702656","Catalog Record")</f>
        <v/>
      </c>
      <c r="AT289">
        <f>HYPERLINK("http://www.worldcat.org/oclc/52256509","WorldCat Record")</f>
        <v/>
      </c>
    </row>
    <row r="290">
      <c r="A290" t="inlineStr">
        <is>
          <t>No</t>
        </is>
      </c>
      <c r="B290" t="inlineStr">
        <is>
          <t>QV 39 D79365 1992</t>
        </is>
      </c>
      <c r="C290" t="inlineStr">
        <is>
          <t>0                      QV 0039000D  79365       1992</t>
        </is>
      </c>
      <c r="D290" t="inlineStr">
        <is>
          <t>Drug handbook : a nursing process approach / R. Alfaro-LeFevre ... [et al.].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L290" t="inlineStr">
        <is>
          <t>Redwood City, Calif. : Addison-Wesley Nursing, c1992.</t>
        </is>
      </c>
      <c r="M290" t="inlineStr">
        <is>
          <t>1992</t>
        </is>
      </c>
      <c r="O290" t="inlineStr">
        <is>
          <t>eng</t>
        </is>
      </c>
      <c r="P290" t="inlineStr">
        <is>
          <t>xxu</t>
        </is>
      </c>
      <c r="R290" t="inlineStr">
        <is>
          <t xml:space="preserve">QV </t>
        </is>
      </c>
      <c r="S290" t="n">
        <v>20</v>
      </c>
      <c r="T290" t="n">
        <v>20</v>
      </c>
      <c r="U290" t="inlineStr">
        <is>
          <t>2005-12-01</t>
        </is>
      </c>
      <c r="V290" t="inlineStr">
        <is>
          <t>2005-12-01</t>
        </is>
      </c>
      <c r="W290" t="inlineStr">
        <is>
          <t>1992-04-23</t>
        </is>
      </c>
      <c r="X290" t="inlineStr">
        <is>
          <t>1992-04-23</t>
        </is>
      </c>
      <c r="Y290" t="n">
        <v>129</v>
      </c>
      <c r="Z290" t="n">
        <v>93</v>
      </c>
      <c r="AA290" t="n">
        <v>96</v>
      </c>
      <c r="AB290" t="n">
        <v>2</v>
      </c>
      <c r="AC290" t="n">
        <v>2</v>
      </c>
      <c r="AD290" t="n">
        <v>1</v>
      </c>
      <c r="AE290" t="n">
        <v>1</v>
      </c>
      <c r="AF290" t="n">
        <v>0</v>
      </c>
      <c r="AG290" t="n">
        <v>0</v>
      </c>
      <c r="AH290" t="n">
        <v>1</v>
      </c>
      <c r="AI290" t="n">
        <v>1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HYPERLINK("http://catalog.hathitrust.org/Record/002536480","HathiTrust Record")</f>
        <v/>
      </c>
      <c r="AS290">
        <f>HYPERLINK("https://creighton-primo.hosted.exlibrisgroup.com/primo-explore/search?tab=default_tab&amp;search_scope=EVERYTHING&amp;vid=01CRU&amp;lang=en_US&amp;offset=0&amp;query=any,contains,991001302849702656","Catalog Record")</f>
        <v/>
      </c>
      <c r="AT290">
        <f>HYPERLINK("http://www.worldcat.org/oclc/24504209","WorldCat Record")</f>
        <v/>
      </c>
    </row>
    <row r="291">
      <c r="A291" t="inlineStr">
        <is>
          <t>No</t>
        </is>
      </c>
      <c r="B291" t="inlineStr">
        <is>
          <t>QV 39 D7942 1996</t>
        </is>
      </c>
      <c r="C291" t="inlineStr">
        <is>
          <t>0                      QV 0039000D  7942        1996</t>
        </is>
      </c>
      <c r="D291" t="inlineStr">
        <is>
          <t>Drug information : a guide for pharmacists / Patrick M. Malone ... [et al.] ; with a foreword by William G. Troutman.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Yes</t>
        </is>
      </c>
      <c r="J291" t="inlineStr">
        <is>
          <t>3</t>
        </is>
      </c>
      <c r="L291" t="inlineStr">
        <is>
          <t>Stamford, CT : Appleton &amp; Lange, c1996.</t>
        </is>
      </c>
      <c r="M291" t="inlineStr">
        <is>
          <t>1996</t>
        </is>
      </c>
      <c r="O291" t="inlineStr">
        <is>
          <t>eng</t>
        </is>
      </c>
      <c r="P291" t="inlineStr">
        <is>
          <t>ctu</t>
        </is>
      </c>
      <c r="R291" t="inlineStr">
        <is>
          <t xml:space="preserve">QV </t>
        </is>
      </c>
      <c r="S291" t="n">
        <v>95</v>
      </c>
      <c r="T291" t="n">
        <v>95</v>
      </c>
      <c r="U291" t="inlineStr">
        <is>
          <t>2003-01-29</t>
        </is>
      </c>
      <c r="V291" t="inlineStr">
        <is>
          <t>2003-01-29</t>
        </is>
      </c>
      <c r="W291" t="inlineStr">
        <is>
          <t>1996-08-30</t>
        </is>
      </c>
      <c r="X291" t="inlineStr">
        <is>
          <t>1996-08-30</t>
        </is>
      </c>
      <c r="Y291" t="n">
        <v>80</v>
      </c>
      <c r="Z291" t="n">
        <v>56</v>
      </c>
      <c r="AA291" t="n">
        <v>248</v>
      </c>
      <c r="AB291" t="n">
        <v>1</v>
      </c>
      <c r="AC291" t="n">
        <v>4</v>
      </c>
      <c r="AD291" t="n">
        <v>3</v>
      </c>
      <c r="AE291" t="n">
        <v>11</v>
      </c>
      <c r="AF291" t="n">
        <v>1</v>
      </c>
      <c r="AG291" t="n">
        <v>6</v>
      </c>
      <c r="AH291" t="n">
        <v>2</v>
      </c>
      <c r="AI291" t="n">
        <v>3</v>
      </c>
      <c r="AJ291" t="n">
        <v>0</v>
      </c>
      <c r="AK291" t="n">
        <v>2</v>
      </c>
      <c r="AL291" t="n">
        <v>0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HYPERLINK("http://catalog.hathitrust.org/Record/003066062","HathiTrust Record")</f>
        <v/>
      </c>
      <c r="AS291">
        <f>HYPERLINK("https://creighton-primo.hosted.exlibrisgroup.com/primo-explore/search?tab=default_tab&amp;search_scope=EVERYTHING&amp;vid=01CRU&amp;lang=en_US&amp;offset=0&amp;query=any,contains,991000835219702656","Catalog Record")</f>
        <v/>
      </c>
      <c r="AT291">
        <f>HYPERLINK("http://www.worldcat.org/oclc/34903263","WorldCat Record")</f>
        <v/>
      </c>
    </row>
    <row r="292">
      <c r="A292" t="inlineStr">
        <is>
          <t>No</t>
        </is>
      </c>
      <c r="B292" t="inlineStr">
        <is>
          <t>QV 39 E53 1998</t>
        </is>
      </c>
      <c r="C292" t="inlineStr">
        <is>
          <t>0                      QV 0039000E  53          1998</t>
        </is>
      </c>
      <c r="D292" t="inlineStr">
        <is>
          <t>Emergency toxicology / edited by Peter Viccellio ; [section editors], Tod Bania ... [et al.].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Philadelphia : Lippincott-Raven, c1998.</t>
        </is>
      </c>
      <c r="M292" t="inlineStr">
        <is>
          <t>1998</t>
        </is>
      </c>
      <c r="N292" t="inlineStr">
        <is>
          <t>2nd ed.</t>
        </is>
      </c>
      <c r="O292" t="inlineStr">
        <is>
          <t>eng</t>
        </is>
      </c>
      <c r="P292" t="inlineStr">
        <is>
          <t>pau</t>
        </is>
      </c>
      <c r="R292" t="inlineStr">
        <is>
          <t xml:space="preserve">QV </t>
        </is>
      </c>
      <c r="S292" t="n">
        <v>16</v>
      </c>
      <c r="T292" t="n">
        <v>16</v>
      </c>
      <c r="U292" t="inlineStr">
        <is>
          <t>2001-07-31</t>
        </is>
      </c>
      <c r="V292" t="inlineStr">
        <is>
          <t>2001-07-31</t>
        </is>
      </c>
      <c r="W292" t="inlineStr">
        <is>
          <t>1998-12-18</t>
        </is>
      </c>
      <c r="X292" t="inlineStr">
        <is>
          <t>1998-12-18</t>
        </is>
      </c>
      <c r="Y292" t="n">
        <v>229</v>
      </c>
      <c r="Z292" t="n">
        <v>177</v>
      </c>
      <c r="AA292" t="n">
        <v>184</v>
      </c>
      <c r="AB292" t="n">
        <v>2</v>
      </c>
      <c r="AC292" t="n">
        <v>2</v>
      </c>
      <c r="AD292" t="n">
        <v>4</v>
      </c>
      <c r="AE292" t="n">
        <v>4</v>
      </c>
      <c r="AF292" t="n">
        <v>1</v>
      </c>
      <c r="AG292" t="n">
        <v>1</v>
      </c>
      <c r="AH292" t="n">
        <v>1</v>
      </c>
      <c r="AI292" t="n">
        <v>1</v>
      </c>
      <c r="AJ292" t="n">
        <v>1</v>
      </c>
      <c r="AK292" t="n">
        <v>1</v>
      </c>
      <c r="AL292" t="n">
        <v>1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HYPERLINK("http://catalog.hathitrust.org/Record/003984876","HathiTrust Record")</f>
        <v/>
      </c>
      <c r="AS292">
        <f>HYPERLINK("https://creighton-primo.hosted.exlibrisgroup.com/primo-explore/search?tab=default_tab&amp;search_scope=EVERYTHING&amp;vid=01CRU&amp;lang=en_US&amp;offset=0&amp;query=any,contains,991001562689702656","Catalog Record")</f>
        <v/>
      </c>
      <c r="AT292">
        <f>HYPERLINK("http://www.worldcat.org/oclc/38562329","WorldCat Record")</f>
        <v/>
      </c>
    </row>
    <row r="293">
      <c r="A293" t="inlineStr">
        <is>
          <t>No</t>
        </is>
      </c>
      <c r="B293" t="inlineStr">
        <is>
          <t>QV 39 F198 1991</t>
        </is>
      </c>
      <c r="C293" t="inlineStr">
        <is>
          <t>0                      QV 0039000F  198         1991</t>
        </is>
      </c>
      <c r="D293" t="inlineStr">
        <is>
          <t>The Family practice drug handbook / Allan J. Ellsworth ... [et al.].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St. Louis : Mosby-Year Book, c1991.</t>
        </is>
      </c>
      <c r="M293" t="inlineStr">
        <is>
          <t>1991</t>
        </is>
      </c>
      <c r="O293" t="inlineStr">
        <is>
          <t>eng</t>
        </is>
      </c>
      <c r="P293" t="inlineStr">
        <is>
          <t>xxu</t>
        </is>
      </c>
      <c r="R293" t="inlineStr">
        <is>
          <t xml:space="preserve">QV </t>
        </is>
      </c>
      <c r="S293" t="n">
        <v>4</v>
      </c>
      <c r="T293" t="n">
        <v>4</v>
      </c>
      <c r="U293" t="inlineStr">
        <is>
          <t>1998-01-06</t>
        </is>
      </c>
      <c r="V293" t="inlineStr">
        <is>
          <t>1998-01-06</t>
        </is>
      </c>
      <c r="W293" t="inlineStr">
        <is>
          <t>1992-04-29</t>
        </is>
      </c>
      <c r="X293" t="inlineStr">
        <is>
          <t>1992-04-29</t>
        </is>
      </c>
      <c r="Y293" t="n">
        <v>40</v>
      </c>
      <c r="Z293" t="n">
        <v>32</v>
      </c>
      <c r="AA293" t="n">
        <v>32</v>
      </c>
      <c r="AB293" t="n">
        <v>1</v>
      </c>
      <c r="AC293" t="n">
        <v>1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HYPERLINK("https://creighton-primo.hosted.exlibrisgroup.com/primo-explore/search?tab=default_tab&amp;search_scope=EVERYTHING&amp;vid=01CRU&amp;lang=en_US&amp;offset=0&amp;query=any,contains,991001303949702656","Catalog Record")</f>
        <v/>
      </c>
      <c r="AT293">
        <f>HYPERLINK("http://www.worldcat.org/oclc/22381554","WorldCat Record")</f>
        <v/>
      </c>
    </row>
    <row r="294">
      <c r="A294" t="inlineStr">
        <is>
          <t>No</t>
        </is>
      </c>
      <c r="B294" t="inlineStr">
        <is>
          <t>QV 39 H2358 1988</t>
        </is>
      </c>
      <c r="C294" t="inlineStr">
        <is>
          <t>0                      QV 0039000H  2358        1988</t>
        </is>
      </c>
      <c r="D294" t="inlineStr">
        <is>
          <t>Handbook of clinical drug data.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Yes</t>
        </is>
      </c>
      <c r="J294" t="inlineStr">
        <is>
          <t>0</t>
        </is>
      </c>
      <c r="L294" t="inlineStr">
        <is>
          <t>Hamilton, Ill. : Drug Intelligence Publications, c1988.</t>
        </is>
      </c>
      <c r="M294" t="inlineStr">
        <is>
          <t>1988</t>
        </is>
      </c>
      <c r="N294" t="inlineStr">
        <is>
          <t>6th ed. / editors, James E. Knoben, Philip O. Anderson ; assistant editors, Larry J. Davis, William G. Troutman.</t>
        </is>
      </c>
      <c r="O294" t="inlineStr">
        <is>
          <t>eng</t>
        </is>
      </c>
      <c r="P294" t="inlineStr">
        <is>
          <t>xxu</t>
        </is>
      </c>
      <c r="R294" t="inlineStr">
        <is>
          <t xml:space="preserve">QV </t>
        </is>
      </c>
      <c r="S294" t="n">
        <v>64</v>
      </c>
      <c r="T294" t="n">
        <v>64</v>
      </c>
      <c r="U294" t="inlineStr">
        <is>
          <t>1992-09-17</t>
        </is>
      </c>
      <c r="V294" t="inlineStr">
        <is>
          <t>1992-09-17</t>
        </is>
      </c>
      <c r="W294" t="inlineStr">
        <is>
          <t>1988-07-06</t>
        </is>
      </c>
      <c r="X294" t="inlineStr">
        <is>
          <t>1988-07-06</t>
        </is>
      </c>
      <c r="Y294" t="n">
        <v>106</v>
      </c>
      <c r="Z294" t="n">
        <v>78</v>
      </c>
      <c r="AA294" t="n">
        <v>314</v>
      </c>
      <c r="AB294" t="n">
        <v>1</v>
      </c>
      <c r="AC294" t="n">
        <v>2</v>
      </c>
      <c r="AD294" t="n">
        <v>0</v>
      </c>
      <c r="AE294" t="n">
        <v>6</v>
      </c>
      <c r="AF294" t="n">
        <v>0</v>
      </c>
      <c r="AG294" t="n">
        <v>4</v>
      </c>
      <c r="AH294" t="n">
        <v>0</v>
      </c>
      <c r="AI294" t="n">
        <v>1</v>
      </c>
      <c r="AJ294" t="n">
        <v>0</v>
      </c>
      <c r="AK294" t="n">
        <v>2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HYPERLINK("http://catalog.hathitrust.org/Record/000925102","HathiTrust Record")</f>
        <v/>
      </c>
      <c r="AS294">
        <f>HYPERLINK("https://creighton-primo.hosted.exlibrisgroup.com/primo-explore/search?tab=default_tab&amp;search_scope=EVERYTHING&amp;vid=01CRU&amp;lang=en_US&amp;offset=0&amp;query=any,contains,991001416529702656","Catalog Record")</f>
        <v/>
      </c>
      <c r="AT294">
        <f>HYPERLINK("http://www.worldcat.org/oclc/17805418","WorldCat Record")</f>
        <v/>
      </c>
    </row>
    <row r="295">
      <c r="A295" t="inlineStr">
        <is>
          <t>No</t>
        </is>
      </c>
      <c r="B295" t="inlineStr">
        <is>
          <t>QV 39 H2358 1993</t>
        </is>
      </c>
      <c r="C295" t="inlineStr">
        <is>
          <t>0                      QV 0039000H  2358        1993</t>
        </is>
      </c>
      <c r="D295" t="inlineStr">
        <is>
          <t>Handbook of clinical drug data / editors, James E. Knoben, Philip O. Anderson ; associate editor, William G. Troutman : assistant editor, Larry J. Davis.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Yes</t>
        </is>
      </c>
      <c r="J295" t="inlineStr">
        <is>
          <t>0</t>
        </is>
      </c>
      <c r="L295" t="inlineStr">
        <is>
          <t>Hamilton, Ill. : Drug Intelligence Publications, c1993..</t>
        </is>
      </c>
      <c r="M295" t="inlineStr">
        <is>
          <t>1993</t>
        </is>
      </c>
      <c r="N295" t="inlineStr">
        <is>
          <t>7th ed.</t>
        </is>
      </c>
      <c r="O295" t="inlineStr">
        <is>
          <t>eng</t>
        </is>
      </c>
      <c r="P295" t="inlineStr">
        <is>
          <t>ilu</t>
        </is>
      </c>
      <c r="R295" t="inlineStr">
        <is>
          <t xml:space="preserve">QV </t>
        </is>
      </c>
      <c r="S295" t="n">
        <v>21</v>
      </c>
      <c r="T295" t="n">
        <v>21</v>
      </c>
      <c r="U295" t="inlineStr">
        <is>
          <t>1998-10-15</t>
        </is>
      </c>
      <c r="V295" t="inlineStr">
        <is>
          <t>1998-10-15</t>
        </is>
      </c>
      <c r="W295" t="inlineStr">
        <is>
          <t>1993-01-21</t>
        </is>
      </c>
      <c r="X295" t="inlineStr">
        <is>
          <t>1993-01-21</t>
        </is>
      </c>
      <c r="Y295" t="n">
        <v>79</v>
      </c>
      <c r="Z295" t="n">
        <v>64</v>
      </c>
      <c r="AA295" t="n">
        <v>314</v>
      </c>
      <c r="AB295" t="n">
        <v>1</v>
      </c>
      <c r="AC295" t="n">
        <v>2</v>
      </c>
      <c r="AD295" t="n">
        <v>1</v>
      </c>
      <c r="AE295" t="n">
        <v>6</v>
      </c>
      <c r="AF295" t="n">
        <v>1</v>
      </c>
      <c r="AG295" t="n">
        <v>4</v>
      </c>
      <c r="AH295" t="n">
        <v>0</v>
      </c>
      <c r="AI295" t="n">
        <v>1</v>
      </c>
      <c r="AJ295" t="n">
        <v>0</v>
      </c>
      <c r="AK295" t="n">
        <v>2</v>
      </c>
      <c r="AL295" t="n">
        <v>0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HYPERLINK("http://catalog.hathitrust.org/Record/002593537","HathiTrust Record")</f>
        <v/>
      </c>
      <c r="AS295">
        <f>HYPERLINK("https://creighton-primo.hosted.exlibrisgroup.com/primo-explore/search?tab=default_tab&amp;search_scope=EVERYTHING&amp;vid=01CRU&amp;lang=en_US&amp;offset=0&amp;query=any,contains,991001434779702656","Catalog Record")</f>
        <v/>
      </c>
      <c r="AT295">
        <f>HYPERLINK("http://www.worldcat.org/oclc/26396582","WorldCat Record")</f>
        <v/>
      </c>
    </row>
    <row r="296">
      <c r="A296" t="inlineStr">
        <is>
          <t>No</t>
        </is>
      </c>
      <c r="B296" t="inlineStr">
        <is>
          <t>QV39 H23636 2004</t>
        </is>
      </c>
      <c r="C296" t="inlineStr">
        <is>
          <t>0                      QV 0039000H  23636       2004</t>
        </is>
      </c>
      <c r="D296" t="inlineStr">
        <is>
          <t>Handbook of drug-nutrient interactions / edited by Joseph I. Boullata, and Vincent T. Armenti ; foreword by Margaret Malone.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1</t>
        </is>
      </c>
      <c r="L296" t="inlineStr">
        <is>
          <t>Totowa, N.J. : Humana Press, c2004.</t>
        </is>
      </c>
      <c r="M296" t="inlineStr">
        <is>
          <t>2004</t>
        </is>
      </c>
      <c r="O296" t="inlineStr">
        <is>
          <t>eng</t>
        </is>
      </c>
      <c r="P296" t="inlineStr">
        <is>
          <t>nju</t>
        </is>
      </c>
      <c r="Q296" t="inlineStr">
        <is>
          <t>Nutrition and health</t>
        </is>
      </c>
      <c r="R296" t="inlineStr">
        <is>
          <t xml:space="preserve">QV </t>
        </is>
      </c>
      <c r="S296" t="n">
        <v>1</v>
      </c>
      <c r="T296" t="n">
        <v>1</v>
      </c>
      <c r="U296" t="inlineStr">
        <is>
          <t>2005-10-28</t>
        </is>
      </c>
      <c r="V296" t="inlineStr">
        <is>
          <t>2005-10-28</t>
        </is>
      </c>
      <c r="W296" t="inlineStr">
        <is>
          <t>2005-10-28</t>
        </is>
      </c>
      <c r="X296" t="inlineStr">
        <is>
          <t>2005-10-28</t>
        </is>
      </c>
      <c r="Y296" t="n">
        <v>222</v>
      </c>
      <c r="Z296" t="n">
        <v>153</v>
      </c>
      <c r="AA296" t="n">
        <v>518</v>
      </c>
      <c r="AB296" t="n">
        <v>2</v>
      </c>
      <c r="AC296" t="n">
        <v>3</v>
      </c>
      <c r="AD296" t="n">
        <v>6</v>
      </c>
      <c r="AE296" t="n">
        <v>17</v>
      </c>
      <c r="AF296" t="n">
        <v>2</v>
      </c>
      <c r="AG296" t="n">
        <v>9</v>
      </c>
      <c r="AH296" t="n">
        <v>3</v>
      </c>
      <c r="AI296" t="n">
        <v>5</v>
      </c>
      <c r="AJ296" t="n">
        <v>0</v>
      </c>
      <c r="AK296" t="n">
        <v>6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HYPERLINK("http://catalog.hathitrust.org/Record/004731892","HathiTrust Record")</f>
        <v/>
      </c>
      <c r="AS296">
        <f>HYPERLINK("https://creighton-primo.hosted.exlibrisgroup.com/primo-explore/search?tab=default_tab&amp;search_scope=EVERYTHING&amp;vid=01CRU&amp;lang=en_US&amp;offset=0&amp;query=any,contains,991000446459702656","Catalog Record")</f>
        <v/>
      </c>
      <c r="AT296">
        <f>HYPERLINK("http://www.worldcat.org/oclc/53091284","WorldCat Record")</f>
        <v/>
      </c>
    </row>
    <row r="297">
      <c r="A297" t="inlineStr">
        <is>
          <t>No</t>
        </is>
      </c>
      <c r="B297" t="inlineStr">
        <is>
          <t>QV 39 H23642 1992</t>
        </is>
      </c>
      <c r="C297" t="inlineStr">
        <is>
          <t>0                      QV 0039000H  23642       1992</t>
        </is>
      </c>
      <c r="D297" t="inlineStr">
        <is>
          <t>Handbook of psychotropic drugs.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Springhouse, Pa. : Springhouse Corporation, c1992.</t>
        </is>
      </c>
      <c r="M297" t="inlineStr">
        <is>
          <t>1992</t>
        </is>
      </c>
      <c r="O297" t="inlineStr">
        <is>
          <t>eng</t>
        </is>
      </c>
      <c r="P297" t="inlineStr">
        <is>
          <t>pau</t>
        </is>
      </c>
      <c r="R297" t="inlineStr">
        <is>
          <t xml:space="preserve">QV </t>
        </is>
      </c>
      <c r="S297" t="n">
        <v>8</v>
      </c>
      <c r="T297" t="n">
        <v>8</v>
      </c>
      <c r="U297" t="inlineStr">
        <is>
          <t>1992-12-23</t>
        </is>
      </c>
      <c r="V297" t="inlineStr">
        <is>
          <t>1992-12-23</t>
        </is>
      </c>
      <c r="W297" t="inlineStr">
        <is>
          <t>1992-12-23</t>
        </is>
      </c>
      <c r="X297" t="inlineStr">
        <is>
          <t>1992-12-23</t>
        </is>
      </c>
      <c r="Y297" t="n">
        <v>82</v>
      </c>
      <c r="Z297" t="n">
        <v>71</v>
      </c>
      <c r="AA297" t="n">
        <v>73</v>
      </c>
      <c r="AB297" t="n">
        <v>1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HYPERLINK("http://catalog.hathitrust.org/Record/002604096","HathiTrust Record")</f>
        <v/>
      </c>
      <c r="AS297">
        <f>HYPERLINK("https://creighton-primo.hosted.exlibrisgroup.com/primo-explore/search?tab=default_tab&amp;search_scope=EVERYTHING&amp;vid=01CRU&amp;lang=en_US&amp;offset=0&amp;query=any,contains,991001352309702656","Catalog Record")</f>
        <v/>
      </c>
      <c r="AT297">
        <f>HYPERLINK("http://www.worldcat.org/oclc/24792441","WorldCat Record")</f>
        <v/>
      </c>
    </row>
    <row r="298">
      <c r="A298" t="inlineStr">
        <is>
          <t>No</t>
        </is>
      </c>
      <c r="B298" t="inlineStr">
        <is>
          <t>QV 39 H262h 1992</t>
        </is>
      </c>
      <c r="C298" t="inlineStr">
        <is>
          <t>0                      QV 0039000H  262h        1992</t>
        </is>
      </c>
      <c r="D298" t="inlineStr">
        <is>
          <t>Handbook of drug therapy in rheumatic disease : pharmacology and clinical aspects / Joe G. Hardin, Jr., Gesina L. Longenecker.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Hardin, Joe G., 1937-</t>
        </is>
      </c>
      <c r="L298" t="inlineStr">
        <is>
          <t>Boston : Little, Brown, c1992.</t>
        </is>
      </c>
      <c r="M298" t="inlineStr">
        <is>
          <t>1992</t>
        </is>
      </c>
      <c r="N298" t="inlineStr">
        <is>
          <t>1st ed.</t>
        </is>
      </c>
      <c r="O298" t="inlineStr">
        <is>
          <t>eng</t>
        </is>
      </c>
      <c r="P298" t="inlineStr">
        <is>
          <t>mau</t>
        </is>
      </c>
      <c r="R298" t="inlineStr">
        <is>
          <t xml:space="preserve">QV </t>
        </is>
      </c>
      <c r="S298" t="n">
        <v>2</v>
      </c>
      <c r="T298" t="n">
        <v>2</v>
      </c>
      <c r="U298" t="inlineStr">
        <is>
          <t>1992-02-18</t>
        </is>
      </c>
      <c r="V298" t="inlineStr">
        <is>
          <t>1992-02-18</t>
        </is>
      </c>
      <c r="W298" t="inlineStr">
        <is>
          <t>1992-02-18</t>
        </is>
      </c>
      <c r="X298" t="inlineStr">
        <is>
          <t>1992-02-18</t>
        </is>
      </c>
      <c r="Y298" t="n">
        <v>74</v>
      </c>
      <c r="Z298" t="n">
        <v>40</v>
      </c>
      <c r="AA298" t="n">
        <v>45</v>
      </c>
      <c r="AB298" t="n">
        <v>1</v>
      </c>
      <c r="AC298" t="n">
        <v>1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HYPERLINK("https://creighton-primo.hosted.exlibrisgroup.com/primo-explore/search?tab=default_tab&amp;search_scope=EVERYTHING&amp;vid=01CRU&amp;lang=en_US&amp;offset=0&amp;query=any,contains,991001036039702656","Catalog Record")</f>
        <v/>
      </c>
      <c r="AT298">
        <f>HYPERLINK("http://www.worldcat.org/oclc/24373246","WorldCat Record")</f>
        <v/>
      </c>
    </row>
    <row r="299">
      <c r="A299" t="inlineStr">
        <is>
          <t>No</t>
        </is>
      </c>
      <c r="B299" t="inlineStr">
        <is>
          <t>QV 39 K185z 2009</t>
        </is>
      </c>
      <c r="C299" t="inlineStr">
        <is>
          <t>0                      QV 0039000K  185z        2009</t>
        </is>
      </c>
      <c r="D299" t="inlineStr">
        <is>
          <t>2009 Lippincott's nursing drug guide / Amy M. Karch.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Karch, Amy Morrison, 1949-</t>
        </is>
      </c>
      <c r="L299" t="inlineStr">
        <is>
          <t>Philadelphia : Lippincott Williams &amp; Wilkens, c2009.</t>
        </is>
      </c>
      <c r="M299" t="inlineStr">
        <is>
          <t>2009</t>
        </is>
      </c>
      <c r="O299" t="inlineStr">
        <is>
          <t>eng</t>
        </is>
      </c>
      <c r="P299" t="inlineStr">
        <is>
          <t>pau</t>
        </is>
      </c>
      <c r="R299" t="inlineStr">
        <is>
          <t xml:space="preserve">QV </t>
        </is>
      </c>
      <c r="S299" t="n">
        <v>3</v>
      </c>
      <c r="T299" t="n">
        <v>3</v>
      </c>
      <c r="U299" t="inlineStr">
        <is>
          <t>2010-10-20</t>
        </is>
      </c>
      <c r="V299" t="inlineStr">
        <is>
          <t>2010-10-20</t>
        </is>
      </c>
      <c r="W299" t="inlineStr">
        <is>
          <t>2009-04-28</t>
        </is>
      </c>
      <c r="X299" t="inlineStr">
        <is>
          <t>2009-04-28</t>
        </is>
      </c>
      <c r="Y299" t="n">
        <v>93</v>
      </c>
      <c r="Z299" t="n">
        <v>70</v>
      </c>
      <c r="AA299" t="n">
        <v>96</v>
      </c>
      <c r="AB299" t="n">
        <v>1</v>
      </c>
      <c r="AC299" t="n">
        <v>1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HYPERLINK("https://creighton-primo.hosted.exlibrisgroup.com/primo-explore/search?tab=default_tab&amp;search_scope=EVERYTHING&amp;vid=01CRU&amp;lang=en_US&amp;offset=0&amp;query=any,contains,991001457459702656","Catalog Record")</f>
        <v/>
      </c>
      <c r="AT299">
        <f>HYPERLINK("http://www.worldcat.org/oclc/181600919","WorldCat Record")</f>
        <v/>
      </c>
    </row>
    <row r="300">
      <c r="A300" t="inlineStr">
        <is>
          <t>No</t>
        </is>
      </c>
      <c r="B300" t="inlineStr">
        <is>
          <t>QV 39 L675h 1991</t>
        </is>
      </c>
      <c r="C300" t="inlineStr">
        <is>
          <t>0                      QV 0039000L  675h        1991</t>
        </is>
      </c>
      <c r="D300" t="inlineStr">
        <is>
          <t>Hazardous chemicals desk reference / Richard J. Lewis, Sr.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Lewis, Richard J., Sr., 1939-2018.</t>
        </is>
      </c>
      <c r="L300" t="inlineStr">
        <is>
          <t>New York : Van Nostrand Reinhold, c1991.</t>
        </is>
      </c>
      <c r="M300" t="inlineStr">
        <is>
          <t>1991</t>
        </is>
      </c>
      <c r="N300" t="inlineStr">
        <is>
          <t>2nd ed.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QV </t>
        </is>
      </c>
      <c r="S300" t="n">
        <v>4</v>
      </c>
      <c r="T300" t="n">
        <v>4</v>
      </c>
      <c r="U300" t="inlineStr">
        <is>
          <t>2006-11-02</t>
        </is>
      </c>
      <c r="V300" t="inlineStr">
        <is>
          <t>2006-11-02</t>
        </is>
      </c>
      <c r="W300" t="inlineStr">
        <is>
          <t>1992-11-20</t>
        </is>
      </c>
      <c r="X300" t="inlineStr">
        <is>
          <t>1992-11-20</t>
        </is>
      </c>
      <c r="Y300" t="n">
        <v>355</v>
      </c>
      <c r="Z300" t="n">
        <v>284</v>
      </c>
      <c r="AA300" t="n">
        <v>1519</v>
      </c>
      <c r="AB300" t="n">
        <v>1</v>
      </c>
      <c r="AC300" t="n">
        <v>5</v>
      </c>
      <c r="AD300" t="n">
        <v>1</v>
      </c>
      <c r="AE300" t="n">
        <v>27</v>
      </c>
      <c r="AF300" t="n">
        <v>0</v>
      </c>
      <c r="AG300" t="n">
        <v>10</v>
      </c>
      <c r="AH300" t="n">
        <v>0</v>
      </c>
      <c r="AI300" t="n">
        <v>5</v>
      </c>
      <c r="AJ300" t="n">
        <v>1</v>
      </c>
      <c r="AK300" t="n">
        <v>14</v>
      </c>
      <c r="AL300" t="n">
        <v>0</v>
      </c>
      <c r="AM300" t="n">
        <v>3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HYPERLINK("http://catalog.hathitrust.org/Record/002238722","HathiTrust Record")</f>
        <v/>
      </c>
      <c r="AS300">
        <f>HYPERLINK("https://creighton-primo.hosted.exlibrisgroup.com/primo-explore/search?tab=default_tab&amp;search_scope=EVERYTHING&amp;vid=01CRU&amp;lang=en_US&amp;offset=0&amp;query=any,contains,991001347459702656","Catalog Record")</f>
        <v/>
      </c>
      <c r="AT300">
        <f>HYPERLINK("http://www.worldcat.org/oclc/22451060","WorldCat Record")</f>
        <v/>
      </c>
    </row>
    <row r="301">
      <c r="A301" t="inlineStr">
        <is>
          <t>No</t>
        </is>
      </c>
      <c r="B301" t="inlineStr">
        <is>
          <t>QV 39 L848e 1987</t>
        </is>
      </c>
      <c r="C301" t="inlineStr">
        <is>
          <t>0                      QV 0039000L  848e        1987</t>
        </is>
      </c>
      <c r="D301" t="inlineStr">
        <is>
          <t>The essential guide to prescription drugs / James W. Long.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Long, James W.</t>
        </is>
      </c>
      <c r="L301" t="inlineStr">
        <is>
          <t>New York : Harper &amp; Row, c1987.</t>
        </is>
      </c>
      <c r="M301" t="inlineStr">
        <is>
          <t>1987</t>
        </is>
      </c>
      <c r="N301" t="inlineStr">
        <is>
          <t>5th ed.</t>
        </is>
      </c>
      <c r="O301" t="inlineStr">
        <is>
          <t>eng</t>
        </is>
      </c>
      <c r="P301" t="inlineStr">
        <is>
          <t>xxu</t>
        </is>
      </c>
      <c r="R301" t="inlineStr">
        <is>
          <t xml:space="preserve">QV </t>
        </is>
      </c>
      <c r="S301" t="n">
        <v>6</v>
      </c>
      <c r="T301" t="n">
        <v>6</v>
      </c>
      <c r="U301" t="inlineStr">
        <is>
          <t>2000-04-06</t>
        </is>
      </c>
      <c r="V301" t="inlineStr">
        <is>
          <t>2000-04-06</t>
        </is>
      </c>
      <c r="W301" t="inlineStr">
        <is>
          <t>1987-11-20</t>
        </is>
      </c>
      <c r="X301" t="inlineStr">
        <is>
          <t>1987-11-20</t>
        </is>
      </c>
      <c r="Y301" t="n">
        <v>135</v>
      </c>
      <c r="Z301" t="n">
        <v>130</v>
      </c>
      <c r="AA301" t="n">
        <v>1391</v>
      </c>
      <c r="AB301" t="n">
        <v>3</v>
      </c>
      <c r="AC301" t="n">
        <v>18</v>
      </c>
      <c r="AD301" t="n">
        <v>0</v>
      </c>
      <c r="AE301" t="n">
        <v>12</v>
      </c>
      <c r="AF301" t="n">
        <v>0</v>
      </c>
      <c r="AG301" t="n">
        <v>2</v>
      </c>
      <c r="AH301" t="n">
        <v>0</v>
      </c>
      <c r="AI301" t="n">
        <v>1</v>
      </c>
      <c r="AJ301" t="n">
        <v>0</v>
      </c>
      <c r="AK301" t="n">
        <v>3</v>
      </c>
      <c r="AL301" t="n">
        <v>0</v>
      </c>
      <c r="AM301" t="n">
        <v>5</v>
      </c>
      <c r="AN301" t="n">
        <v>0</v>
      </c>
      <c r="AO301" t="n">
        <v>1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HYPERLINK("https://creighton-primo.hosted.exlibrisgroup.com/primo-explore/search?tab=default_tab&amp;search_scope=EVERYTHING&amp;vid=01CRU&amp;lang=en_US&amp;offset=0&amp;query=any,contains,991000586609702656","Catalog Record")</f>
        <v/>
      </c>
      <c r="AT301">
        <f>HYPERLINK("http://www.worldcat.org/oclc/15055055","WorldCat Record")</f>
        <v/>
      </c>
    </row>
    <row r="302">
      <c r="A302" t="inlineStr">
        <is>
          <t>No</t>
        </is>
      </c>
      <c r="B302" t="inlineStr">
        <is>
          <t>QV 39 M744a 1996</t>
        </is>
      </c>
      <c r="C302" t="inlineStr">
        <is>
          <t>0                      QV 0039000M  744a        1996</t>
        </is>
      </c>
      <c r="D302" t="inlineStr">
        <is>
          <t>Antibiotic selection in obstetrics and gynecology / Gilles R.G. Monif.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Monif, Gilles R. G.</t>
        </is>
      </c>
      <c r="L302" t="inlineStr">
        <is>
          <t>Omaha : IDI Publications, [New York?] : Distributed by Parthenon Pub., c1996.</t>
        </is>
      </c>
      <c r="M302" t="inlineStr">
        <is>
          <t>1996</t>
        </is>
      </c>
      <c r="O302" t="inlineStr">
        <is>
          <t>eng</t>
        </is>
      </c>
      <c r="P302" t="inlineStr">
        <is>
          <t xml:space="preserve">xx </t>
        </is>
      </c>
      <c r="R302" t="inlineStr">
        <is>
          <t xml:space="preserve">QV </t>
        </is>
      </c>
      <c r="S302" t="n">
        <v>5</v>
      </c>
      <c r="T302" t="n">
        <v>5</v>
      </c>
      <c r="U302" t="inlineStr">
        <is>
          <t>2004-02-01</t>
        </is>
      </c>
      <c r="V302" t="inlineStr">
        <is>
          <t>2004-02-01</t>
        </is>
      </c>
      <c r="W302" t="inlineStr">
        <is>
          <t>1997-02-18</t>
        </is>
      </c>
      <c r="X302" t="inlineStr">
        <is>
          <t>1997-02-18</t>
        </is>
      </c>
      <c r="Y302" t="n">
        <v>25</v>
      </c>
      <c r="Z302" t="n">
        <v>20</v>
      </c>
      <c r="AA302" t="n">
        <v>20</v>
      </c>
      <c r="AB302" t="n">
        <v>1</v>
      </c>
      <c r="AC302" t="n">
        <v>1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HYPERLINK("https://creighton-primo.hosted.exlibrisgroup.com/primo-explore/search?tab=default_tab&amp;search_scope=EVERYTHING&amp;vid=01CRU&amp;lang=en_US&amp;offset=0&amp;query=any,contains,991000964339702656","Catalog Record")</f>
        <v/>
      </c>
      <c r="AT302">
        <f>HYPERLINK("http://www.worldcat.org/oclc/35562195","WorldCat Record")</f>
        <v/>
      </c>
    </row>
    <row r="303">
      <c r="A303" t="inlineStr">
        <is>
          <t>No</t>
        </is>
      </c>
      <c r="B303" t="inlineStr">
        <is>
          <t>QV39 M8941 2008</t>
        </is>
      </c>
      <c r="C303" t="inlineStr">
        <is>
          <t>0                      QV 0039000M  8941        2008</t>
        </is>
      </c>
      <c r="D303" t="inlineStr">
        <is>
          <t>Mosby's 2008 nursing drug reference / Linda Skidmore-Roth.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Skidmore-Roth, Linda.</t>
        </is>
      </c>
      <c r="L303" t="inlineStr">
        <is>
          <t>St. Louis, Mo. ; London : Elsevier Mosby, 2007.</t>
        </is>
      </c>
      <c r="M303" t="inlineStr">
        <is>
          <t>2007</t>
        </is>
      </c>
      <c r="O303" t="inlineStr">
        <is>
          <t>eng</t>
        </is>
      </c>
      <c r="P303" t="inlineStr">
        <is>
          <t>mou</t>
        </is>
      </c>
      <c r="R303" t="inlineStr">
        <is>
          <t xml:space="preserve">QV </t>
        </is>
      </c>
      <c r="S303" t="n">
        <v>3</v>
      </c>
      <c r="T303" t="n">
        <v>3</v>
      </c>
      <c r="U303" t="inlineStr">
        <is>
          <t>2010-10-20</t>
        </is>
      </c>
      <c r="V303" t="inlineStr">
        <is>
          <t>2010-10-20</t>
        </is>
      </c>
      <c r="W303" t="inlineStr">
        <is>
          <t>2007-11-19</t>
        </is>
      </c>
      <c r="X303" t="inlineStr">
        <is>
          <t>2007-11-19</t>
        </is>
      </c>
      <c r="Y303" t="n">
        <v>78</v>
      </c>
      <c r="Z303" t="n">
        <v>63</v>
      </c>
      <c r="AA303" t="n">
        <v>64</v>
      </c>
      <c r="AB303" t="n">
        <v>0</v>
      </c>
      <c r="AC303" t="n">
        <v>0</v>
      </c>
      <c r="AD303" t="n">
        <v>3</v>
      </c>
      <c r="AE303" t="n">
        <v>3</v>
      </c>
      <c r="AF303" t="n">
        <v>2</v>
      </c>
      <c r="AG303" t="n">
        <v>2</v>
      </c>
      <c r="AH303" t="n">
        <v>0</v>
      </c>
      <c r="AI303" t="n">
        <v>0</v>
      </c>
      <c r="AJ303" t="n">
        <v>1</v>
      </c>
      <c r="AK303" t="n">
        <v>1</v>
      </c>
      <c r="AL303" t="n">
        <v>0</v>
      </c>
      <c r="AM303" t="n">
        <v>0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HYPERLINK("https://creighton-primo.hosted.exlibrisgroup.com/primo-explore/search?tab=default_tab&amp;search_scope=EVERYTHING&amp;vid=01CRU&amp;lang=en_US&amp;offset=0&amp;query=any,contains,991001753319702656","Catalog Record")</f>
        <v/>
      </c>
      <c r="AT303">
        <f>HYPERLINK("http://www.worldcat.org/oclc/495870776","WorldCat Record")</f>
        <v/>
      </c>
    </row>
    <row r="304">
      <c r="A304" t="inlineStr">
        <is>
          <t>No</t>
        </is>
      </c>
      <c r="B304" t="inlineStr">
        <is>
          <t>QV39 N854c 2004</t>
        </is>
      </c>
      <c r="C304" t="inlineStr">
        <is>
          <t>0                      QV 0039000N  854c        2004</t>
        </is>
      </c>
      <c r="D304" t="inlineStr">
        <is>
          <t>Clinical research coordinator handbook / Deborrah Norris.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Norris, Deborrah.</t>
        </is>
      </c>
      <c r="L304" t="inlineStr">
        <is>
          <t>Medford, N.J. : Plexus Pub., c2004.</t>
        </is>
      </c>
      <c r="M304" t="inlineStr">
        <is>
          <t>2004</t>
        </is>
      </c>
      <c r="N304" t="inlineStr">
        <is>
          <t>3rd ed.</t>
        </is>
      </c>
      <c r="O304" t="inlineStr">
        <is>
          <t>eng</t>
        </is>
      </c>
      <c r="P304" t="inlineStr">
        <is>
          <t>nju</t>
        </is>
      </c>
      <c r="R304" t="inlineStr">
        <is>
          <t xml:space="preserve">QV </t>
        </is>
      </c>
      <c r="S304" t="n">
        <v>0</v>
      </c>
      <c r="T304" t="n">
        <v>0</v>
      </c>
      <c r="U304" t="inlineStr">
        <is>
          <t>2005-02-08</t>
        </is>
      </c>
      <c r="V304" t="inlineStr">
        <is>
          <t>2005-02-08</t>
        </is>
      </c>
      <c r="W304" t="inlineStr">
        <is>
          <t>2005-02-04</t>
        </is>
      </c>
      <c r="X304" t="inlineStr">
        <is>
          <t>2005-02-04</t>
        </is>
      </c>
      <c r="Y304" t="n">
        <v>46</v>
      </c>
      <c r="Z304" t="n">
        <v>40</v>
      </c>
      <c r="AA304" t="n">
        <v>71</v>
      </c>
      <c r="AB304" t="n">
        <v>1</v>
      </c>
      <c r="AC304" t="n">
        <v>1</v>
      </c>
      <c r="AD304" t="n">
        <v>3</v>
      </c>
      <c r="AE304" t="n">
        <v>3</v>
      </c>
      <c r="AF304" t="n">
        <v>2</v>
      </c>
      <c r="AG304" t="n">
        <v>2</v>
      </c>
      <c r="AH304" t="n">
        <v>1</v>
      </c>
      <c r="AI304" t="n">
        <v>1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HYPERLINK("http://catalog.hathitrust.org/Record/005240416","HathiTrust Record")</f>
        <v/>
      </c>
      <c r="AS304">
        <f>HYPERLINK("https://creighton-primo.hosted.exlibrisgroup.com/primo-explore/search?tab=default_tab&amp;search_scope=EVERYTHING&amp;vid=01CRU&amp;lang=en_US&amp;offset=0&amp;query=any,contains,991000426569702656","Catalog Record")</f>
        <v/>
      </c>
      <c r="AT304">
        <f>HYPERLINK("http://www.worldcat.org/oclc/53038749","WorldCat Record")</f>
        <v/>
      </c>
    </row>
    <row r="305">
      <c r="A305" t="inlineStr">
        <is>
          <t>No</t>
        </is>
      </c>
      <c r="B305" t="inlineStr">
        <is>
          <t>QV 39 N97478 2010</t>
        </is>
      </c>
      <c r="C305" t="inlineStr">
        <is>
          <t>0                      QV 0039000N  97478       2010</t>
        </is>
      </c>
      <c r="D305" t="inlineStr">
        <is>
          <t>2010 nursing spectrum drug handbook / Patricia Dwyer Schull.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New York : McGraw-Hill Medical ; London : McGraw-Hill [distributor], 2009.</t>
        </is>
      </c>
      <c r="M305" t="inlineStr">
        <is>
          <t>2009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QV </t>
        </is>
      </c>
      <c r="S305" t="n">
        <v>4</v>
      </c>
      <c r="T305" t="n">
        <v>4</v>
      </c>
      <c r="U305" t="inlineStr">
        <is>
          <t>2010-10-20</t>
        </is>
      </c>
      <c r="V305" t="inlineStr">
        <is>
          <t>2010-10-20</t>
        </is>
      </c>
      <c r="W305" t="inlineStr">
        <is>
          <t>2009-08-10</t>
        </is>
      </c>
      <c r="X305" t="inlineStr">
        <is>
          <t>2009-08-10</t>
        </is>
      </c>
      <c r="Y305" t="n">
        <v>38</v>
      </c>
      <c r="Z305" t="n">
        <v>23</v>
      </c>
      <c r="AA305" t="n">
        <v>415</v>
      </c>
      <c r="AB305" t="n">
        <v>1</v>
      </c>
      <c r="AC305" t="n">
        <v>15</v>
      </c>
      <c r="AD305" t="n">
        <v>0</v>
      </c>
      <c r="AE305" t="n">
        <v>13</v>
      </c>
      <c r="AF305" t="n">
        <v>0</v>
      </c>
      <c r="AG305" t="n">
        <v>4</v>
      </c>
      <c r="AH305" t="n">
        <v>0</v>
      </c>
      <c r="AI305" t="n">
        <v>1</v>
      </c>
      <c r="AJ305" t="n">
        <v>0</v>
      </c>
      <c r="AK305" t="n">
        <v>1</v>
      </c>
      <c r="AL305" t="n">
        <v>0</v>
      </c>
      <c r="AM305" t="n">
        <v>8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HYPERLINK("https://creighton-primo.hosted.exlibrisgroup.com/primo-explore/search?tab=default_tab&amp;search_scope=EVERYTHING&amp;vid=01CRU&amp;lang=en_US&amp;offset=0&amp;query=any,contains,991001484809702656","Catalog Record")</f>
        <v/>
      </c>
      <c r="AT305">
        <f>HYPERLINK("http://www.worldcat.org/oclc/441176531","WorldCat Record")</f>
        <v/>
      </c>
    </row>
    <row r="306">
      <c r="A306" t="inlineStr">
        <is>
          <t>No</t>
        </is>
      </c>
      <c r="B306" t="inlineStr">
        <is>
          <t>QV 39 O56p 1995</t>
        </is>
      </c>
      <c r="C306" t="inlineStr">
        <is>
          <t>0                      QV 0039000O  56p         1995</t>
        </is>
      </c>
      <c r="D306" t="inlineStr">
        <is>
          <t>The pain drugs handbook / Sota Omoigui.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Omoigui, Sota.</t>
        </is>
      </c>
      <c r="L306" t="inlineStr">
        <is>
          <t>St. Louis : Mosby, c1995.</t>
        </is>
      </c>
      <c r="M306" t="inlineStr">
        <is>
          <t>1995</t>
        </is>
      </c>
      <c r="O306" t="inlineStr">
        <is>
          <t>eng</t>
        </is>
      </c>
      <c r="P306" t="inlineStr">
        <is>
          <t>mou</t>
        </is>
      </c>
      <c r="R306" t="inlineStr">
        <is>
          <t xml:space="preserve">QV </t>
        </is>
      </c>
      <c r="S306" t="n">
        <v>5</v>
      </c>
      <c r="T306" t="n">
        <v>5</v>
      </c>
      <c r="U306" t="inlineStr">
        <is>
          <t>2006-10-05</t>
        </is>
      </c>
      <c r="V306" t="inlineStr">
        <is>
          <t>2006-10-05</t>
        </is>
      </c>
      <c r="W306" t="inlineStr">
        <is>
          <t>1996-09-10</t>
        </is>
      </c>
      <c r="X306" t="inlineStr">
        <is>
          <t>1996-09-10</t>
        </is>
      </c>
      <c r="Y306" t="n">
        <v>67</v>
      </c>
      <c r="Z306" t="n">
        <v>46</v>
      </c>
      <c r="AA306" t="n">
        <v>48</v>
      </c>
      <c r="AB306" t="n">
        <v>1</v>
      </c>
      <c r="AC306" t="n">
        <v>1</v>
      </c>
      <c r="AD306" t="n">
        <v>2</v>
      </c>
      <c r="AE306" t="n">
        <v>2</v>
      </c>
      <c r="AF306" t="n">
        <v>1</v>
      </c>
      <c r="AG306" t="n">
        <v>1</v>
      </c>
      <c r="AH306" t="n">
        <v>1</v>
      </c>
      <c r="AI306" t="n">
        <v>1</v>
      </c>
      <c r="AJ306" t="n">
        <v>1</v>
      </c>
      <c r="AK306" t="n">
        <v>1</v>
      </c>
      <c r="AL306" t="n">
        <v>0</v>
      </c>
      <c r="AM306" t="n">
        <v>0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HYPERLINK("http://catalog.hathitrust.org/Record/005572230","HathiTrust Record")</f>
        <v/>
      </c>
      <c r="AS306">
        <f>HYPERLINK("https://creighton-primo.hosted.exlibrisgroup.com/primo-explore/search?tab=default_tab&amp;search_scope=EVERYTHING&amp;vid=01CRU&amp;lang=en_US&amp;offset=0&amp;query=any,contains,991000835849702656","Catalog Record")</f>
        <v/>
      </c>
      <c r="AT306">
        <f>HYPERLINK("http://www.worldcat.org/oclc/31075186","WorldCat Record")</f>
        <v/>
      </c>
    </row>
    <row r="307">
      <c r="A307" t="inlineStr">
        <is>
          <t>No</t>
        </is>
      </c>
      <c r="B307" t="inlineStr">
        <is>
          <t>QV39 P464p 1997</t>
        </is>
      </c>
      <c r="C307" t="inlineStr">
        <is>
          <t>0                      QV 0039000P  464p        1997</t>
        </is>
      </c>
      <c r="D307" t="inlineStr">
        <is>
          <t>Psychotropic drug handbook / Paul J. Perry, Bruce Alexander, Barry I. Liskow.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Yes</t>
        </is>
      </c>
      <c r="J307" t="inlineStr">
        <is>
          <t>0</t>
        </is>
      </c>
      <c r="K307" t="inlineStr">
        <is>
          <t>Perry, Paul J.</t>
        </is>
      </c>
      <c r="L307" t="inlineStr">
        <is>
          <t>Washington, DC : American Psychiatric Press, c1997.</t>
        </is>
      </c>
      <c r="M307" t="inlineStr">
        <is>
          <t>1997</t>
        </is>
      </c>
      <c r="N307" t="inlineStr">
        <is>
          <t>7th ed.</t>
        </is>
      </c>
      <c r="O307" t="inlineStr">
        <is>
          <t>eng</t>
        </is>
      </c>
      <c r="P307" t="inlineStr">
        <is>
          <t>dcu</t>
        </is>
      </c>
      <c r="R307" t="inlineStr">
        <is>
          <t xml:space="preserve">QV </t>
        </is>
      </c>
      <c r="S307" t="n">
        <v>12</v>
      </c>
      <c r="T307" t="n">
        <v>12</v>
      </c>
      <c r="U307" t="inlineStr">
        <is>
          <t>2005-12-01</t>
        </is>
      </c>
      <c r="V307" t="inlineStr">
        <is>
          <t>2005-12-01</t>
        </is>
      </c>
      <c r="W307" t="inlineStr">
        <is>
          <t>1997-06-09</t>
        </is>
      </c>
      <c r="X307" t="inlineStr">
        <is>
          <t>1997-06-09</t>
        </is>
      </c>
      <c r="Y307" t="n">
        <v>98</v>
      </c>
      <c r="Z307" t="n">
        <v>81</v>
      </c>
      <c r="AA307" t="n">
        <v>189</v>
      </c>
      <c r="AB307" t="n">
        <v>2</v>
      </c>
      <c r="AC307" t="n">
        <v>2</v>
      </c>
      <c r="AD307" t="n">
        <v>1</v>
      </c>
      <c r="AE307" t="n">
        <v>6</v>
      </c>
      <c r="AF307" t="n">
        <v>0</v>
      </c>
      <c r="AG307" t="n">
        <v>4</v>
      </c>
      <c r="AH307" t="n">
        <v>0</v>
      </c>
      <c r="AI307" t="n">
        <v>1</v>
      </c>
      <c r="AJ307" t="n">
        <v>0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HYPERLINK("https://creighton-primo.hosted.exlibrisgroup.com/primo-explore/search?tab=default_tab&amp;search_scope=EVERYTHING&amp;vid=01CRU&amp;lang=en_US&amp;offset=0&amp;query=any,contains,991001250889702656","Catalog Record")</f>
        <v/>
      </c>
      <c r="AT307">
        <f>HYPERLINK("http://www.worldcat.org/oclc/34974268","WorldCat Record")</f>
        <v/>
      </c>
    </row>
    <row r="308">
      <c r="A308" t="inlineStr">
        <is>
          <t>No</t>
        </is>
      </c>
      <c r="B308" t="inlineStr">
        <is>
          <t>QV 39 P5355 1992</t>
        </is>
      </c>
      <c r="C308" t="inlineStr">
        <is>
          <t>0                      QV 0039000P  5355        1992</t>
        </is>
      </c>
      <c r="D308" t="inlineStr">
        <is>
          <t>Pharmacology / edited by Theoharis C. Theoharides.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Boston: Little, Brown, c1992.</t>
        </is>
      </c>
      <c r="M308" t="inlineStr">
        <is>
          <t>1992</t>
        </is>
      </c>
      <c r="N308" t="inlineStr">
        <is>
          <t>1st ed.</t>
        </is>
      </c>
      <c r="O308" t="inlineStr">
        <is>
          <t>eng</t>
        </is>
      </c>
      <c r="P308" t="inlineStr">
        <is>
          <t>mau</t>
        </is>
      </c>
      <c r="R308" t="inlineStr">
        <is>
          <t xml:space="preserve">QV </t>
        </is>
      </c>
      <c r="S308" t="n">
        <v>24</v>
      </c>
      <c r="T308" t="n">
        <v>24</v>
      </c>
      <c r="U308" t="inlineStr">
        <is>
          <t>2002-11-26</t>
        </is>
      </c>
      <c r="V308" t="inlineStr">
        <is>
          <t>2002-11-26</t>
        </is>
      </c>
      <c r="W308" t="inlineStr">
        <is>
          <t>1992-04-28</t>
        </is>
      </c>
      <c r="X308" t="inlineStr">
        <is>
          <t>1992-04-28</t>
        </is>
      </c>
      <c r="Y308" t="n">
        <v>81</v>
      </c>
      <c r="Z308" t="n">
        <v>50</v>
      </c>
      <c r="AA308" t="n">
        <v>57</v>
      </c>
      <c r="AB308" t="n">
        <v>1</v>
      </c>
      <c r="AC308" t="n">
        <v>1</v>
      </c>
      <c r="AD308" t="n">
        <v>1</v>
      </c>
      <c r="AE308" t="n">
        <v>1</v>
      </c>
      <c r="AF308" t="n">
        <v>1</v>
      </c>
      <c r="AG308" t="n">
        <v>1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HYPERLINK("http://catalog.hathitrust.org/Record/002545340","HathiTrust Record")</f>
        <v/>
      </c>
      <c r="AS308">
        <f>HYPERLINK("https://creighton-primo.hosted.exlibrisgroup.com/primo-explore/search?tab=default_tab&amp;search_scope=EVERYTHING&amp;vid=01CRU&amp;lang=en_US&amp;offset=0&amp;query=any,contains,991001303189702656","Catalog Record")</f>
        <v/>
      </c>
      <c r="AT308">
        <f>HYPERLINK("http://www.worldcat.org/oclc/24793598","WorldCat Record")</f>
        <v/>
      </c>
    </row>
    <row r="309">
      <c r="A309" t="inlineStr">
        <is>
          <t>No</t>
        </is>
      </c>
      <c r="B309" t="inlineStr">
        <is>
          <t>QV 39 P895 1999</t>
        </is>
      </c>
      <c r="C309" t="inlineStr">
        <is>
          <t>0                      QV 0039000P  895         1999</t>
        </is>
      </c>
      <c r="D309" t="inlineStr">
        <is>
          <t>Practitioner's guide to psychoactive drugs for children and adolescents / edited by John Scott Werry and Michael G. Aman.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New York : Plenum Medical Book Co., c1999.</t>
        </is>
      </c>
      <c r="M309" t="inlineStr">
        <is>
          <t>1999</t>
        </is>
      </c>
      <c r="N309" t="inlineStr">
        <is>
          <t>2nd ed.</t>
        </is>
      </c>
      <c r="O309" t="inlineStr">
        <is>
          <t>eng</t>
        </is>
      </c>
      <c r="P309" t="inlineStr">
        <is>
          <t>nyu</t>
        </is>
      </c>
      <c r="R309" t="inlineStr">
        <is>
          <t xml:space="preserve">QV </t>
        </is>
      </c>
      <c r="S309" t="n">
        <v>1</v>
      </c>
      <c r="T309" t="n">
        <v>1</v>
      </c>
      <c r="U309" t="inlineStr">
        <is>
          <t>1999-03-22</t>
        </is>
      </c>
      <c r="V309" t="inlineStr">
        <is>
          <t>1999-03-22</t>
        </is>
      </c>
      <c r="W309" t="inlineStr">
        <is>
          <t>1999-03-19</t>
        </is>
      </c>
      <c r="X309" t="inlineStr">
        <is>
          <t>1999-03-19</t>
        </is>
      </c>
      <c r="Y309" t="n">
        <v>155</v>
      </c>
      <c r="Z309" t="n">
        <v>126</v>
      </c>
      <c r="AA309" t="n">
        <v>236</v>
      </c>
      <c r="AB309" t="n">
        <v>1</v>
      </c>
      <c r="AC309" t="n">
        <v>1</v>
      </c>
      <c r="AD309" t="n">
        <v>6</v>
      </c>
      <c r="AE309" t="n">
        <v>9</v>
      </c>
      <c r="AF309" t="n">
        <v>3</v>
      </c>
      <c r="AG309" t="n">
        <v>6</v>
      </c>
      <c r="AH309" t="n">
        <v>0</v>
      </c>
      <c r="AI309" t="n">
        <v>0</v>
      </c>
      <c r="AJ309" t="n">
        <v>4</v>
      </c>
      <c r="AK309" t="n">
        <v>6</v>
      </c>
      <c r="AL309" t="n">
        <v>0</v>
      </c>
      <c r="AM309" t="n">
        <v>0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HYPERLINK("https://creighton-primo.hosted.exlibrisgroup.com/primo-explore/search?tab=default_tab&amp;search_scope=EVERYTHING&amp;vid=01CRU&amp;lang=en_US&amp;offset=0&amp;query=any,contains,991001420489702656","Catalog Record")</f>
        <v/>
      </c>
      <c r="AT309">
        <f>HYPERLINK("http://www.worldcat.org/oclc/39465437","WorldCat Record")</f>
        <v/>
      </c>
    </row>
    <row r="310">
      <c r="A310" t="inlineStr">
        <is>
          <t>No</t>
        </is>
      </c>
      <c r="B310" t="inlineStr">
        <is>
          <t>QV39 R612h 2004</t>
        </is>
      </c>
      <c r="C310" t="inlineStr">
        <is>
          <t>0                      QV 0039000R  612h        2004</t>
        </is>
      </c>
      <c r="D310" t="inlineStr">
        <is>
          <t>Handbook of basic pharmacokinetics-- including clinical applications / Wolfgang A. Ritschel, Gregory L. Kearns.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Yes</t>
        </is>
      </c>
      <c r="J310" t="inlineStr">
        <is>
          <t>0</t>
        </is>
      </c>
      <c r="K310" t="inlineStr">
        <is>
          <t>Ritschel, W. A. (Wolfgang A.)</t>
        </is>
      </c>
      <c r="L310" t="inlineStr">
        <is>
          <t>Washington, D.C. : American Pharmacists Association, c2004.</t>
        </is>
      </c>
      <c r="M310" t="inlineStr">
        <is>
          <t>2004</t>
        </is>
      </c>
      <c r="N310" t="inlineStr">
        <is>
          <t>6th ed.</t>
        </is>
      </c>
      <c r="O310" t="inlineStr">
        <is>
          <t>eng</t>
        </is>
      </c>
      <c r="P310" t="inlineStr">
        <is>
          <t>dcu</t>
        </is>
      </c>
      <c r="R310" t="inlineStr">
        <is>
          <t xml:space="preserve">QV </t>
        </is>
      </c>
      <c r="S310" t="n">
        <v>4</v>
      </c>
      <c r="T310" t="n">
        <v>4</v>
      </c>
      <c r="U310" t="inlineStr">
        <is>
          <t>2004-11-02</t>
        </is>
      </c>
      <c r="V310" t="inlineStr">
        <is>
          <t>2004-11-02</t>
        </is>
      </c>
      <c r="W310" t="inlineStr">
        <is>
          <t>2004-11-01</t>
        </is>
      </c>
      <c r="X310" t="inlineStr">
        <is>
          <t>2004-11-01</t>
        </is>
      </c>
      <c r="Y310" t="n">
        <v>177</v>
      </c>
      <c r="Z310" t="n">
        <v>117</v>
      </c>
      <c r="AA310" t="n">
        <v>264</v>
      </c>
      <c r="AB310" t="n">
        <v>2</v>
      </c>
      <c r="AC310" t="n">
        <v>2</v>
      </c>
      <c r="AD310" t="n">
        <v>6</v>
      </c>
      <c r="AE310" t="n">
        <v>12</v>
      </c>
      <c r="AF310" t="n">
        <v>3</v>
      </c>
      <c r="AG310" t="n">
        <v>8</v>
      </c>
      <c r="AH310" t="n">
        <v>2</v>
      </c>
      <c r="AI310" t="n">
        <v>3</v>
      </c>
      <c r="AJ310" t="n">
        <v>1</v>
      </c>
      <c r="AK310" t="n">
        <v>3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HYPERLINK("http://catalog.hathitrust.org/Record/004734769","HathiTrust Record")</f>
        <v/>
      </c>
      <c r="AS310">
        <f>HYPERLINK("https://creighton-primo.hosted.exlibrisgroup.com/primo-explore/search?tab=default_tab&amp;search_scope=EVERYTHING&amp;vid=01CRU&amp;lang=en_US&amp;offset=0&amp;query=any,contains,991000405709702656","Catalog Record")</f>
        <v/>
      </c>
      <c r="AT310">
        <f>HYPERLINK("http://www.worldcat.org/oclc/53896589","WorldCat Record")</f>
        <v/>
      </c>
    </row>
    <row r="311">
      <c r="A311" t="inlineStr">
        <is>
          <t>No</t>
        </is>
      </c>
      <c r="B311" t="inlineStr">
        <is>
          <t>QV 39 S528g 1992</t>
        </is>
      </c>
      <c r="C311" t="inlineStr">
        <is>
          <t>0                      QV 0039000S  528g        1992</t>
        </is>
      </c>
      <c r="D311" t="inlineStr">
        <is>
          <t>Govoni &amp; Hayes drugs and nursing implications / Margaret T. Shannon, Billie Ann Wilson, with Carolyn L. Stang.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Shannon, Margaret T.</t>
        </is>
      </c>
      <c r="L311" t="inlineStr">
        <is>
          <t>Norwalk, CT : Appleton &amp; Lange, c1992.</t>
        </is>
      </c>
      <c r="M311" t="inlineStr">
        <is>
          <t>1992</t>
        </is>
      </c>
      <c r="N311" t="inlineStr">
        <is>
          <t>7th ed.</t>
        </is>
      </c>
      <c r="O311" t="inlineStr">
        <is>
          <t>eng</t>
        </is>
      </c>
      <c r="P311" t="inlineStr">
        <is>
          <t>ctu</t>
        </is>
      </c>
      <c r="R311" t="inlineStr">
        <is>
          <t xml:space="preserve">QV </t>
        </is>
      </c>
      <c r="S311" t="n">
        <v>12</v>
      </c>
      <c r="T311" t="n">
        <v>12</v>
      </c>
      <c r="U311" t="inlineStr">
        <is>
          <t>2001-02-26</t>
        </is>
      </c>
      <c r="V311" t="inlineStr">
        <is>
          <t>2001-02-26</t>
        </is>
      </c>
      <c r="W311" t="inlineStr">
        <is>
          <t>1992-05-29</t>
        </is>
      </c>
      <c r="X311" t="inlineStr">
        <is>
          <t>1992-05-29</t>
        </is>
      </c>
      <c r="Y311" t="n">
        <v>270</v>
      </c>
      <c r="Z311" t="n">
        <v>229</v>
      </c>
      <c r="AA311" t="n">
        <v>380</v>
      </c>
      <c r="AB311" t="n">
        <v>2</v>
      </c>
      <c r="AC311" t="n">
        <v>3</v>
      </c>
      <c r="AD311" t="n">
        <v>3</v>
      </c>
      <c r="AE311" t="n">
        <v>6</v>
      </c>
      <c r="AF311" t="n">
        <v>1</v>
      </c>
      <c r="AG311" t="n">
        <v>1</v>
      </c>
      <c r="AH311" t="n">
        <v>1</v>
      </c>
      <c r="AI311" t="n">
        <v>2</v>
      </c>
      <c r="AJ311" t="n">
        <v>2</v>
      </c>
      <c r="AK311" t="n">
        <v>4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HYPERLINK("http://catalog.hathitrust.org/Record/002557735","HathiTrust Record")</f>
        <v/>
      </c>
      <c r="AS311">
        <f>HYPERLINK("https://creighton-primo.hosted.exlibrisgroup.com/primo-explore/search?tab=default_tab&amp;search_scope=EVERYTHING&amp;vid=01CRU&amp;lang=en_US&amp;offset=0&amp;query=any,contains,991001304939702656","Catalog Record")</f>
        <v/>
      </c>
      <c r="AT311">
        <f>HYPERLINK("http://www.worldcat.org/oclc/25594272","WorldCat Record")</f>
        <v/>
      </c>
    </row>
    <row r="312">
      <c r="A312" t="inlineStr">
        <is>
          <t>No</t>
        </is>
      </c>
      <c r="B312" t="inlineStr">
        <is>
          <t>QV39 S872h 2006</t>
        </is>
      </c>
      <c r="C312" t="inlineStr">
        <is>
          <t>0                      QV 0039000S  872h        2006</t>
        </is>
      </c>
      <c r="D312" t="inlineStr">
        <is>
          <t>Handbook of pharmacology &amp; physiology in anesthetic practice / by Robert K. Stoelting, Simon C. Hillier.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Stoelting, Robert K.</t>
        </is>
      </c>
      <c r="L312" t="inlineStr">
        <is>
          <t>Philadelphia : Lippincott Williams &amp; Wilkins, c2006.</t>
        </is>
      </c>
      <c r="M312" t="inlineStr">
        <is>
          <t>2006</t>
        </is>
      </c>
      <c r="N312" t="inlineStr">
        <is>
          <t>2nd ed.</t>
        </is>
      </c>
      <c r="O312" t="inlineStr">
        <is>
          <t>eng</t>
        </is>
      </c>
      <c r="P312" t="inlineStr">
        <is>
          <t>pau</t>
        </is>
      </c>
      <c r="R312" t="inlineStr">
        <is>
          <t xml:space="preserve">QV </t>
        </is>
      </c>
      <c r="S312" t="n">
        <v>0</v>
      </c>
      <c r="T312" t="n">
        <v>0</v>
      </c>
      <c r="U312" t="inlineStr">
        <is>
          <t>2006-11-01</t>
        </is>
      </c>
      <c r="V312" t="inlineStr">
        <is>
          <t>2006-11-01</t>
        </is>
      </c>
      <c r="W312" t="inlineStr">
        <is>
          <t>2006-10-27</t>
        </is>
      </c>
      <c r="X312" t="inlineStr">
        <is>
          <t>2006-10-27</t>
        </is>
      </c>
      <c r="Y312" t="n">
        <v>92</v>
      </c>
      <c r="Z312" t="n">
        <v>51</v>
      </c>
      <c r="AA312" t="n">
        <v>477</v>
      </c>
      <c r="AB312" t="n">
        <v>1</v>
      </c>
      <c r="AC312" t="n">
        <v>5</v>
      </c>
      <c r="AD312" t="n">
        <v>2</v>
      </c>
      <c r="AE312" t="n">
        <v>24</v>
      </c>
      <c r="AF312" t="n">
        <v>1</v>
      </c>
      <c r="AG312" t="n">
        <v>8</v>
      </c>
      <c r="AH312" t="n">
        <v>0</v>
      </c>
      <c r="AI312" t="n">
        <v>7</v>
      </c>
      <c r="AJ312" t="n">
        <v>1</v>
      </c>
      <c r="AK312" t="n">
        <v>7</v>
      </c>
      <c r="AL312" t="n">
        <v>0</v>
      </c>
      <c r="AM312" t="n">
        <v>4</v>
      </c>
      <c r="AN312" t="n">
        <v>0</v>
      </c>
      <c r="AO312" t="n">
        <v>1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HYPERLINK("https://creighton-primo.hosted.exlibrisgroup.com/primo-explore/search?tab=default_tab&amp;search_scope=EVERYTHING&amp;vid=01CRU&amp;lang=en_US&amp;offset=0&amp;query=any,contains,991000561529702656","Catalog Record")</f>
        <v/>
      </c>
      <c r="AT312">
        <f>HYPERLINK("http://www.worldcat.org/oclc/60697124","WorldCat Record")</f>
        <v/>
      </c>
    </row>
    <row r="313">
      <c r="A313" t="inlineStr">
        <is>
          <t>No</t>
        </is>
      </c>
      <c r="B313" t="inlineStr">
        <is>
          <t>QV 39 T749d 1990</t>
        </is>
      </c>
      <c r="C313" t="inlineStr">
        <is>
          <t>0                      QV 0039000T  749d        1990</t>
        </is>
      </c>
      <c r="D313" t="inlineStr">
        <is>
          <t>Drug guide for psychiatric nursing / Mary C. Townsend, in consultation with Virginia Farley French.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Townsend, Mary C., 1941-</t>
        </is>
      </c>
      <c r="L313" t="inlineStr">
        <is>
          <t>Philadelphia : F.A. Davis Co., c1990.</t>
        </is>
      </c>
      <c r="M313" t="inlineStr">
        <is>
          <t>1990</t>
        </is>
      </c>
      <c r="O313" t="inlineStr">
        <is>
          <t>eng</t>
        </is>
      </c>
      <c r="P313" t="inlineStr">
        <is>
          <t>xxu</t>
        </is>
      </c>
      <c r="R313" t="inlineStr">
        <is>
          <t xml:space="preserve">QV </t>
        </is>
      </c>
      <c r="S313" t="n">
        <v>12</v>
      </c>
      <c r="T313" t="n">
        <v>12</v>
      </c>
      <c r="U313" t="inlineStr">
        <is>
          <t>2005-12-01</t>
        </is>
      </c>
      <c r="V313" t="inlineStr">
        <is>
          <t>2005-12-01</t>
        </is>
      </c>
      <c r="W313" t="inlineStr">
        <is>
          <t>1990-08-07</t>
        </is>
      </c>
      <c r="X313" t="inlineStr">
        <is>
          <t>1990-08-07</t>
        </is>
      </c>
      <c r="Y313" t="n">
        <v>175</v>
      </c>
      <c r="Z313" t="n">
        <v>144</v>
      </c>
      <c r="AA313" t="n">
        <v>201</v>
      </c>
      <c r="AB313" t="n">
        <v>2</v>
      </c>
      <c r="AC313" t="n">
        <v>2</v>
      </c>
      <c r="AD313" t="n">
        <v>4</v>
      </c>
      <c r="AE313" t="n">
        <v>6</v>
      </c>
      <c r="AF313" t="n">
        <v>2</v>
      </c>
      <c r="AG313" t="n">
        <v>3</v>
      </c>
      <c r="AH313" t="n">
        <v>2</v>
      </c>
      <c r="AI313" t="n">
        <v>2</v>
      </c>
      <c r="AJ313" t="n">
        <v>1</v>
      </c>
      <c r="AK313" t="n">
        <v>2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HYPERLINK("http://catalog.hathitrust.org/Record/002181034","HathiTrust Record")</f>
        <v/>
      </c>
      <c r="AS313">
        <f>HYPERLINK("https://creighton-primo.hosted.exlibrisgroup.com/primo-explore/search?tab=default_tab&amp;search_scope=EVERYTHING&amp;vid=01CRU&amp;lang=en_US&amp;offset=0&amp;query=any,contains,991001451809702656","Catalog Record")</f>
        <v/>
      </c>
      <c r="AT313">
        <f>HYPERLINK("http://www.worldcat.org/oclc/20823488","WorldCat Record")</f>
        <v/>
      </c>
    </row>
    <row r="314">
      <c r="A314" t="inlineStr">
        <is>
          <t>No</t>
        </is>
      </c>
      <c r="B314" t="inlineStr">
        <is>
          <t>QV 39 V184d 1996</t>
        </is>
      </c>
      <c r="C314" t="inlineStr">
        <is>
          <t>0                      QV 0039000V  184d        1996</t>
        </is>
      </c>
      <c r="D314" t="inlineStr">
        <is>
          <t>Davis's guide to IV medications / April Hazard Vallerand, Judith Hopfer Deglin.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Vallerand, April Hazard.</t>
        </is>
      </c>
      <c r="L314" t="inlineStr">
        <is>
          <t>Philadelphia : F.A. Davis, c1996.</t>
        </is>
      </c>
      <c r="M314" t="inlineStr">
        <is>
          <t>1996</t>
        </is>
      </c>
      <c r="N314" t="inlineStr">
        <is>
          <t>3rd ed.</t>
        </is>
      </c>
      <c r="O314" t="inlineStr">
        <is>
          <t>eng</t>
        </is>
      </c>
      <c r="P314" t="inlineStr">
        <is>
          <t>pau</t>
        </is>
      </c>
      <c r="R314" t="inlineStr">
        <is>
          <t xml:space="preserve">QV </t>
        </is>
      </c>
      <c r="S314" t="n">
        <v>6</v>
      </c>
      <c r="T314" t="n">
        <v>6</v>
      </c>
      <c r="U314" t="inlineStr">
        <is>
          <t>2006-09-15</t>
        </is>
      </c>
      <c r="V314" t="inlineStr">
        <is>
          <t>2006-09-15</t>
        </is>
      </c>
      <c r="W314" t="inlineStr">
        <is>
          <t>1996-06-24</t>
        </is>
      </c>
      <c r="X314" t="inlineStr">
        <is>
          <t>1996-06-24</t>
        </is>
      </c>
      <c r="Y314" t="n">
        <v>181</v>
      </c>
      <c r="Z314" t="n">
        <v>159</v>
      </c>
      <c r="AA314" t="n">
        <v>242</v>
      </c>
      <c r="AB314" t="n">
        <v>1</v>
      </c>
      <c r="AC314" t="n">
        <v>1</v>
      </c>
      <c r="AD314" t="n">
        <v>3</v>
      </c>
      <c r="AE314" t="n">
        <v>5</v>
      </c>
      <c r="AF314" t="n">
        <v>1</v>
      </c>
      <c r="AG314" t="n">
        <v>1</v>
      </c>
      <c r="AH314" t="n">
        <v>0</v>
      </c>
      <c r="AI314" t="n">
        <v>0</v>
      </c>
      <c r="AJ314" t="n">
        <v>2</v>
      </c>
      <c r="AK314" t="n">
        <v>4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HYPERLINK("https://creighton-primo.hosted.exlibrisgroup.com/primo-explore/search?tab=default_tab&amp;search_scope=EVERYTHING&amp;vid=01CRU&amp;lang=en_US&amp;offset=0&amp;query=any,contains,991000833139702656","Catalog Record")</f>
        <v/>
      </c>
      <c r="AT314">
        <f>HYPERLINK("http://www.worldcat.org/oclc/32970360","WorldCat Record")</f>
        <v/>
      </c>
    </row>
    <row r="315">
      <c r="A315" t="inlineStr">
        <is>
          <t>No</t>
        </is>
      </c>
      <c r="B315" t="inlineStr">
        <is>
          <t>QV 39 W746n 2003</t>
        </is>
      </c>
      <c r="C315" t="inlineStr">
        <is>
          <t>0                      QV 0039000W  746n        2003</t>
        </is>
      </c>
      <c r="D315" t="inlineStr">
        <is>
          <t>Nurses drug guide 2003 / Billie Ann Wilson, Margaret T. Shannon, Carolyn L. Stang.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Wilson, Billie Ann.</t>
        </is>
      </c>
      <c r="L315" t="inlineStr">
        <is>
          <t>Upper Saddle River, N.J. : Prentice Hall, c2003.</t>
        </is>
      </c>
      <c r="M315" t="inlineStr">
        <is>
          <t>2003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QV </t>
        </is>
      </c>
      <c r="S315" t="n">
        <v>0</v>
      </c>
      <c r="T315" t="n">
        <v>0</v>
      </c>
      <c r="U315" t="inlineStr">
        <is>
          <t>2006-09-03</t>
        </is>
      </c>
      <c r="V315" t="inlineStr">
        <is>
          <t>2006-09-03</t>
        </is>
      </c>
      <c r="W315" t="inlineStr">
        <is>
          <t>2006-08-28</t>
        </is>
      </c>
      <c r="X315" t="inlineStr">
        <is>
          <t>2006-08-28</t>
        </is>
      </c>
      <c r="Y315" t="n">
        <v>27</v>
      </c>
      <c r="Z315" t="n">
        <v>27</v>
      </c>
      <c r="AA315" t="n">
        <v>27</v>
      </c>
      <c r="AB315" t="n">
        <v>1</v>
      </c>
      <c r="AC315" t="n">
        <v>1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HYPERLINK("https://creighton-primo.hosted.exlibrisgroup.com/primo-explore/search?tab=default_tab&amp;search_scope=EVERYTHING&amp;vid=01CRU&amp;lang=en_US&amp;offset=0&amp;query=any,contains,991000531949702656","Catalog Record")</f>
        <v/>
      </c>
      <c r="AT315">
        <f>HYPERLINK("http://www.worldcat.org/oclc/50573710","WorldCat Record")</f>
        <v/>
      </c>
    </row>
    <row r="316">
      <c r="A316" t="inlineStr">
        <is>
          <t>No</t>
        </is>
      </c>
      <c r="B316" t="inlineStr">
        <is>
          <t>QV39 W746n 2007</t>
        </is>
      </c>
      <c r="C316" t="inlineStr">
        <is>
          <t>0                      QV 0039000W  746n        2007</t>
        </is>
      </c>
      <c r="D316" t="inlineStr">
        <is>
          <t>Springhouse nurse's drug guide 2007.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Philadelphia ; London : Lippincott Williams &amp; Wilkins, 2006.</t>
        </is>
      </c>
      <c r="M316" t="inlineStr">
        <is>
          <t>2007</t>
        </is>
      </c>
      <c r="O316" t="inlineStr">
        <is>
          <t>eng</t>
        </is>
      </c>
      <c r="P316" t="inlineStr">
        <is>
          <t>pau</t>
        </is>
      </c>
      <c r="R316" t="inlineStr">
        <is>
          <t xml:space="preserve">QV </t>
        </is>
      </c>
      <c r="S316" t="n">
        <v>2</v>
      </c>
      <c r="T316" t="n">
        <v>2</v>
      </c>
      <c r="U316" t="inlineStr">
        <is>
          <t>2010-10-20</t>
        </is>
      </c>
      <c r="V316" t="inlineStr">
        <is>
          <t>2010-10-20</t>
        </is>
      </c>
      <c r="W316" t="inlineStr">
        <is>
          <t>2008-01-24</t>
        </is>
      </c>
      <c r="X316" t="inlineStr">
        <is>
          <t>2008-01-24</t>
        </is>
      </c>
      <c r="Y316" t="n">
        <v>35</v>
      </c>
      <c r="Z316" t="n">
        <v>28</v>
      </c>
      <c r="AA316" t="n">
        <v>33</v>
      </c>
      <c r="AB316" t="n">
        <v>1</v>
      </c>
      <c r="AC316" t="n">
        <v>1</v>
      </c>
      <c r="AD316" t="n">
        <v>1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1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HYPERLINK("https://creighton-primo.hosted.exlibrisgroup.com/primo-explore/search?tab=default_tab&amp;search_scope=EVERYTHING&amp;vid=01CRU&amp;lang=en_US&amp;offset=0&amp;query=any,contains,991000674239702656","Catalog Record")</f>
        <v/>
      </c>
      <c r="AT316">
        <f>HYPERLINK("http://www.worldcat.org/oclc/67872770","WorldCat Record")</f>
        <v/>
      </c>
    </row>
    <row r="317">
      <c r="A317" t="inlineStr">
        <is>
          <t>No</t>
        </is>
      </c>
      <c r="B317" t="inlineStr">
        <is>
          <t>QV50 A191 2000</t>
        </is>
      </c>
      <c r="C317" t="inlineStr">
        <is>
          <t>0                      QV 0050000A  191         2000</t>
        </is>
      </c>
      <c r="D317" t="inlineStr">
        <is>
          <t>ADA guide to dental therapeutics.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Chicago, Ill. : ADA Pub., c2000.</t>
        </is>
      </c>
      <c r="M317" t="inlineStr">
        <is>
          <t>2000</t>
        </is>
      </c>
      <c r="N317" t="inlineStr">
        <is>
          <t>2nd ed.</t>
        </is>
      </c>
      <c r="O317" t="inlineStr">
        <is>
          <t>eng</t>
        </is>
      </c>
      <c r="P317" t="inlineStr">
        <is>
          <t>ilu</t>
        </is>
      </c>
      <c r="R317" t="inlineStr">
        <is>
          <t xml:space="preserve">QV </t>
        </is>
      </c>
      <c r="S317" t="n">
        <v>7</v>
      </c>
      <c r="T317" t="n">
        <v>7</v>
      </c>
      <c r="U317" t="inlineStr">
        <is>
          <t>2005-04-06</t>
        </is>
      </c>
      <c r="V317" t="inlineStr">
        <is>
          <t>2005-04-06</t>
        </is>
      </c>
      <c r="W317" t="inlineStr">
        <is>
          <t>2002-04-15</t>
        </is>
      </c>
      <c r="X317" t="inlineStr">
        <is>
          <t>2002-04-15</t>
        </is>
      </c>
      <c r="Y317" t="n">
        <v>45</v>
      </c>
      <c r="Z317" t="n">
        <v>39</v>
      </c>
      <c r="AA317" t="n">
        <v>93</v>
      </c>
      <c r="AB317" t="n">
        <v>2</v>
      </c>
      <c r="AC317" t="n">
        <v>2</v>
      </c>
      <c r="AD317" t="n">
        <v>3</v>
      </c>
      <c r="AE317" t="n">
        <v>4</v>
      </c>
      <c r="AF317" t="n">
        <v>0</v>
      </c>
      <c r="AG317" t="n">
        <v>0</v>
      </c>
      <c r="AH317" t="n">
        <v>1</v>
      </c>
      <c r="AI317" t="n">
        <v>2</v>
      </c>
      <c r="AJ317" t="n">
        <v>2</v>
      </c>
      <c r="AK317" t="n">
        <v>2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HYPERLINK("http://catalog.hathitrust.org/Record/004141319","HathiTrust Record")</f>
        <v/>
      </c>
      <c r="AS317">
        <f>HYPERLINK("https://creighton-primo.hosted.exlibrisgroup.com/primo-explore/search?tab=default_tab&amp;search_scope=EVERYTHING&amp;vid=01CRU&amp;lang=en_US&amp;offset=0&amp;query=any,contains,991000307669702656","Catalog Record")</f>
        <v/>
      </c>
      <c r="AT317">
        <f>HYPERLINK("http://www.worldcat.org/oclc/45076423","WorldCat Record")</f>
        <v/>
      </c>
    </row>
    <row r="318">
      <c r="A318" t="inlineStr">
        <is>
          <t>No</t>
        </is>
      </c>
      <c r="B318" t="inlineStr">
        <is>
          <t>QV 50 B261d 1990</t>
        </is>
      </c>
      <c r="C318" t="inlineStr">
        <is>
          <t>0                      QV 0050000B  261d        1990</t>
        </is>
      </c>
      <c r="D318" t="inlineStr">
        <is>
          <t>Drug dosage in laboratory animals : a handbook / R.E. Borchard, C.D. Barnes, L.G. Eltherington.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Borchard, Ronald E.</t>
        </is>
      </c>
      <c r="L318" t="inlineStr">
        <is>
          <t>Caldwell, N.J. : Telford Press, 1991 printing, c1990.</t>
        </is>
      </c>
      <c r="M318" t="inlineStr">
        <is>
          <t>1990</t>
        </is>
      </c>
      <c r="N318" t="inlineStr">
        <is>
          <t>3rd ed. rev. and enl.</t>
        </is>
      </c>
      <c r="O318" t="inlineStr">
        <is>
          <t>eng</t>
        </is>
      </c>
      <c r="P318" t="inlineStr">
        <is>
          <t>nju</t>
        </is>
      </c>
      <c r="R318" t="inlineStr">
        <is>
          <t xml:space="preserve">QV </t>
        </is>
      </c>
      <c r="S318" t="n">
        <v>6</v>
      </c>
      <c r="T318" t="n">
        <v>6</v>
      </c>
      <c r="U318" t="inlineStr">
        <is>
          <t>2004-08-10</t>
        </is>
      </c>
      <c r="V318" t="inlineStr">
        <is>
          <t>2004-08-10</t>
        </is>
      </c>
      <c r="W318" t="inlineStr">
        <is>
          <t>1991-12-03</t>
        </is>
      </c>
      <c r="X318" t="inlineStr">
        <is>
          <t>1991-12-03</t>
        </is>
      </c>
      <c r="Y318" t="n">
        <v>230</v>
      </c>
      <c r="Z318" t="n">
        <v>194</v>
      </c>
      <c r="AA318" t="n">
        <v>207</v>
      </c>
      <c r="AB318" t="n">
        <v>3</v>
      </c>
      <c r="AC318" t="n">
        <v>3</v>
      </c>
      <c r="AD318" t="n">
        <v>7</v>
      </c>
      <c r="AE318" t="n">
        <v>7</v>
      </c>
      <c r="AF318" t="n">
        <v>1</v>
      </c>
      <c r="AG318" t="n">
        <v>1</v>
      </c>
      <c r="AH318" t="n">
        <v>3</v>
      </c>
      <c r="AI318" t="n">
        <v>3</v>
      </c>
      <c r="AJ318" t="n">
        <v>3</v>
      </c>
      <c r="AK318" t="n">
        <v>3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HYPERLINK("http://catalog.hathitrust.org/Record/001948493","HathiTrust Record")</f>
        <v/>
      </c>
      <c r="AS318">
        <f>HYPERLINK("https://creighton-primo.hosted.exlibrisgroup.com/primo-explore/search?tab=default_tab&amp;search_scope=EVERYTHING&amp;vid=01CRU&amp;lang=en_US&amp;offset=0&amp;query=any,contains,991001024329702656","Catalog Record")</f>
        <v/>
      </c>
      <c r="AT318">
        <f>HYPERLINK("http://www.worldcat.org/oclc/20490694","WorldCat Record")</f>
        <v/>
      </c>
    </row>
    <row r="319">
      <c r="A319" t="inlineStr">
        <is>
          <t>No</t>
        </is>
      </c>
      <c r="B319" t="inlineStr">
        <is>
          <t>QV 50 C383b 1995</t>
        </is>
      </c>
      <c r="C319" t="inlineStr">
        <is>
          <t>0                      QV 0050000C  383b        1995</t>
        </is>
      </c>
      <c r="D319" t="inlineStr">
        <is>
          <t>Basic pharmacology and clinical drug use in dentistry / R.A. Cawson, R.G. Spector, Ann M. Skelly.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Cawson, R. A.</t>
        </is>
      </c>
      <c r="L319" t="inlineStr">
        <is>
          <t>Edinburgh ; New York : Churchill Livingstone, 1995.</t>
        </is>
      </c>
      <c r="M319" t="inlineStr">
        <is>
          <t>1995</t>
        </is>
      </c>
      <c r="N319" t="inlineStr">
        <is>
          <t>6th ed.</t>
        </is>
      </c>
      <c r="O319" t="inlineStr">
        <is>
          <t>eng</t>
        </is>
      </c>
      <c r="P319" t="inlineStr">
        <is>
          <t>stk</t>
        </is>
      </c>
      <c r="Q319" t="inlineStr">
        <is>
          <t>Dental series</t>
        </is>
      </c>
      <c r="R319" t="inlineStr">
        <is>
          <t xml:space="preserve">QV </t>
        </is>
      </c>
      <c r="S319" t="n">
        <v>8</v>
      </c>
      <c r="T319" t="n">
        <v>8</v>
      </c>
      <c r="U319" t="inlineStr">
        <is>
          <t>2005-04-21</t>
        </is>
      </c>
      <c r="V319" t="inlineStr">
        <is>
          <t>2005-04-21</t>
        </is>
      </c>
      <c r="W319" t="inlineStr">
        <is>
          <t>1998-03-19</t>
        </is>
      </c>
      <c r="X319" t="inlineStr">
        <is>
          <t>1998-03-19</t>
        </is>
      </c>
      <c r="Y319" t="n">
        <v>93</v>
      </c>
      <c r="Z319" t="n">
        <v>43</v>
      </c>
      <c r="AA319" t="n">
        <v>45</v>
      </c>
      <c r="AB319" t="n">
        <v>2</v>
      </c>
      <c r="AC319" t="n">
        <v>2</v>
      </c>
      <c r="AD319" t="n">
        <v>3</v>
      </c>
      <c r="AE319" t="n">
        <v>3</v>
      </c>
      <c r="AF319" t="n">
        <v>0</v>
      </c>
      <c r="AG319" t="n">
        <v>0</v>
      </c>
      <c r="AH319" t="n">
        <v>1</v>
      </c>
      <c r="AI319" t="n">
        <v>1</v>
      </c>
      <c r="AJ319" t="n">
        <v>2</v>
      </c>
      <c r="AK319" t="n">
        <v>2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HYPERLINK("http://catalog.hathitrust.org/Record/002981935","HathiTrust Record")</f>
        <v/>
      </c>
      <c r="AS319">
        <f>HYPERLINK("https://creighton-primo.hosted.exlibrisgroup.com/primo-explore/search?tab=default_tab&amp;search_scope=EVERYTHING&amp;vid=01CRU&amp;lang=en_US&amp;offset=0&amp;query=any,contains,991001271289702656","Catalog Record")</f>
        <v/>
      </c>
      <c r="AT319">
        <f>HYPERLINK("http://www.worldcat.org/oclc/30737804","WorldCat Record")</f>
        <v/>
      </c>
    </row>
    <row r="320">
      <c r="A320" t="inlineStr">
        <is>
          <t>No</t>
        </is>
      </c>
      <c r="B320" t="inlineStr">
        <is>
          <t>QV 50 C383c 1985</t>
        </is>
      </c>
      <c r="C320" t="inlineStr">
        <is>
          <t>0                      QV 0050000C  383c        1985</t>
        </is>
      </c>
      <c r="D320" t="inlineStr">
        <is>
          <t>Clinical pharmacology in dentistry / R.A. Cawson, R.G. Spector.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Cawson, R. A.</t>
        </is>
      </c>
      <c r="L320" t="inlineStr">
        <is>
          <t>Edinburgh ; New York : Churchill Livingstone, c1985.</t>
        </is>
      </c>
      <c r="M320" t="inlineStr">
        <is>
          <t>1985</t>
        </is>
      </c>
      <c r="N320" t="inlineStr">
        <is>
          <t>4th ed.</t>
        </is>
      </c>
      <c r="O320" t="inlineStr">
        <is>
          <t>eng</t>
        </is>
      </c>
      <c r="P320" t="inlineStr">
        <is>
          <t>stk</t>
        </is>
      </c>
      <c r="Q320" t="inlineStr">
        <is>
          <t>Churchill Livingstone dental series</t>
        </is>
      </c>
      <c r="R320" t="inlineStr">
        <is>
          <t xml:space="preserve">QV </t>
        </is>
      </c>
      <c r="S320" t="n">
        <v>9</v>
      </c>
      <c r="T320" t="n">
        <v>9</v>
      </c>
      <c r="U320" t="inlineStr">
        <is>
          <t>1992-08-31</t>
        </is>
      </c>
      <c r="V320" t="inlineStr">
        <is>
          <t>1992-08-31</t>
        </is>
      </c>
      <c r="W320" t="inlineStr">
        <is>
          <t>1988-03-23</t>
        </is>
      </c>
      <c r="X320" t="inlineStr">
        <is>
          <t>1988-03-23</t>
        </is>
      </c>
      <c r="Y320" t="n">
        <v>89</v>
      </c>
      <c r="Z320" t="n">
        <v>41</v>
      </c>
      <c r="AA320" t="n">
        <v>90</v>
      </c>
      <c r="AB320" t="n">
        <v>2</v>
      </c>
      <c r="AC320" t="n">
        <v>2</v>
      </c>
      <c r="AD320" t="n">
        <v>3</v>
      </c>
      <c r="AE320" t="n">
        <v>4</v>
      </c>
      <c r="AF320" t="n">
        <v>0</v>
      </c>
      <c r="AG320" t="n">
        <v>0</v>
      </c>
      <c r="AH320" t="n">
        <v>1</v>
      </c>
      <c r="AI320" t="n">
        <v>2</v>
      </c>
      <c r="AJ320" t="n">
        <v>1</v>
      </c>
      <c r="AK320" t="n">
        <v>2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HYPERLINK("http://catalog.hathitrust.org/Record/000421018","HathiTrust Record")</f>
        <v/>
      </c>
      <c r="AS320">
        <f>HYPERLINK("https://creighton-primo.hosted.exlibrisgroup.com/primo-explore/search?tab=default_tab&amp;search_scope=EVERYTHING&amp;vid=01CRU&amp;lang=en_US&amp;offset=0&amp;query=any,contains,991000953209702656","Catalog Record")</f>
        <v/>
      </c>
      <c r="AT320">
        <f>HYPERLINK("http://www.worldcat.org/oclc/10878372","WorldCat Record")</f>
        <v/>
      </c>
    </row>
    <row r="321">
      <c r="A321" t="inlineStr">
        <is>
          <t>No</t>
        </is>
      </c>
      <c r="B321" t="inlineStr">
        <is>
          <t>QV 50 C42c 2008</t>
        </is>
      </c>
      <c r="C321" t="inlineStr">
        <is>
          <t>0                      QV 0050000C  42c         2008</t>
        </is>
      </c>
      <c r="D321" t="inlineStr">
        <is>
          <t>Clinician's guide : pharmacology in dental medicine / Jeffrey M. Casiglia, Peter L. Jacobsen.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Casiglia, Jeffrey M.</t>
        </is>
      </c>
      <c r="L321" t="inlineStr">
        <is>
          <t>Hamilton, Ontario : B. C. Decker, 2008.</t>
        </is>
      </c>
      <c r="M321" t="inlineStr">
        <is>
          <t>2008</t>
        </is>
      </c>
      <c r="O321" t="inlineStr">
        <is>
          <t>eng</t>
        </is>
      </c>
      <c r="P321" t="inlineStr">
        <is>
          <t>onc</t>
        </is>
      </c>
      <c r="Q321" t="inlineStr">
        <is>
          <t>Clinicians' guides</t>
        </is>
      </c>
      <c r="R321" t="inlineStr">
        <is>
          <t xml:space="preserve">QV </t>
        </is>
      </c>
      <c r="S321" t="n">
        <v>0</v>
      </c>
      <c r="T321" t="n">
        <v>0</v>
      </c>
      <c r="U321" t="inlineStr">
        <is>
          <t>2008-09-10</t>
        </is>
      </c>
      <c r="V321" t="inlineStr">
        <is>
          <t>2008-09-10</t>
        </is>
      </c>
      <c r="W321" t="inlineStr">
        <is>
          <t>2008-09-08</t>
        </is>
      </c>
      <c r="X321" t="inlineStr">
        <is>
          <t>2008-09-08</t>
        </is>
      </c>
      <c r="Y321" t="n">
        <v>43</v>
      </c>
      <c r="Z321" t="n">
        <v>25</v>
      </c>
      <c r="AA321" t="n">
        <v>38</v>
      </c>
      <c r="AB321" t="n">
        <v>1</v>
      </c>
      <c r="AC321" t="n">
        <v>1</v>
      </c>
      <c r="AD321" t="n">
        <v>2</v>
      </c>
      <c r="AE321" t="n">
        <v>4</v>
      </c>
      <c r="AF321" t="n">
        <v>0</v>
      </c>
      <c r="AG321" t="n">
        <v>0</v>
      </c>
      <c r="AH321" t="n">
        <v>1</v>
      </c>
      <c r="AI321" t="n">
        <v>3</v>
      </c>
      <c r="AJ321" t="n">
        <v>2</v>
      </c>
      <c r="AK321" t="n">
        <v>2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HYPERLINK("https://creighton-primo.hosted.exlibrisgroup.com/primo-explore/search?tab=default_tab&amp;search_scope=EVERYTHING&amp;vid=01CRU&amp;lang=en_US&amp;offset=0&amp;query=any,contains,991000916349702656","Catalog Record")</f>
        <v/>
      </c>
      <c r="AT321">
        <f>HYPERLINK("http://www.worldcat.org/oclc/244814875","WorldCat Record")</f>
        <v/>
      </c>
    </row>
    <row r="322">
      <c r="A322" t="inlineStr">
        <is>
          <t>No</t>
        </is>
      </c>
      <c r="B322" t="inlineStr">
        <is>
          <t>QV 50 C566c 1984</t>
        </is>
      </c>
      <c r="C322" t="inlineStr">
        <is>
          <t>0                      QV 0050000C  566c        1984</t>
        </is>
      </c>
      <c r="D322" t="inlineStr">
        <is>
          <t>Clinical pharmacology for dental professionals / Sebastian G. Ciancio, Priscilla C. Bourgault.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Ciancio, Sebastian G., 1937-</t>
        </is>
      </c>
      <c r="L322" t="inlineStr">
        <is>
          <t>Littleton, Mass. : PSG Pub. Co., c1984.</t>
        </is>
      </c>
      <c r="M322" t="inlineStr">
        <is>
          <t>1984</t>
        </is>
      </c>
      <c r="N322" t="inlineStr">
        <is>
          <t>2nd ed.</t>
        </is>
      </c>
      <c r="O322" t="inlineStr">
        <is>
          <t>eng</t>
        </is>
      </c>
      <c r="P322" t="inlineStr">
        <is>
          <t xml:space="preserve">xx </t>
        </is>
      </c>
      <c r="R322" t="inlineStr">
        <is>
          <t xml:space="preserve">QV </t>
        </is>
      </c>
      <c r="S322" t="n">
        <v>21</v>
      </c>
      <c r="T322" t="n">
        <v>21</v>
      </c>
      <c r="U322" t="inlineStr">
        <is>
          <t>1995-12-07</t>
        </is>
      </c>
      <c r="V322" t="inlineStr">
        <is>
          <t>1995-12-07</t>
        </is>
      </c>
      <c r="W322" t="inlineStr">
        <is>
          <t>1988-02-04</t>
        </is>
      </c>
      <c r="X322" t="inlineStr">
        <is>
          <t>1988-02-04</t>
        </is>
      </c>
      <c r="Y322" t="n">
        <v>81</v>
      </c>
      <c r="Z322" t="n">
        <v>52</v>
      </c>
      <c r="AA322" t="n">
        <v>108</v>
      </c>
      <c r="AB322" t="n">
        <v>1</v>
      </c>
      <c r="AC322" t="n">
        <v>2</v>
      </c>
      <c r="AD322" t="n">
        <v>1</v>
      </c>
      <c r="AE322" t="n">
        <v>3</v>
      </c>
      <c r="AF322" t="n">
        <v>0</v>
      </c>
      <c r="AG322" t="n">
        <v>0</v>
      </c>
      <c r="AH322" t="n">
        <v>0</v>
      </c>
      <c r="AI322" t="n">
        <v>1</v>
      </c>
      <c r="AJ322" t="n">
        <v>1</v>
      </c>
      <c r="AK322" t="n">
        <v>2</v>
      </c>
      <c r="AL322" t="n">
        <v>0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HYPERLINK("http://catalog.hathitrust.org/Record/000332966","HathiTrust Record")</f>
        <v/>
      </c>
      <c r="AS322">
        <f>HYPERLINK("https://creighton-primo.hosted.exlibrisgroup.com/primo-explore/search?tab=default_tab&amp;search_scope=EVERYTHING&amp;vid=01CRU&amp;lang=en_US&amp;offset=0&amp;query=any,contains,991000953249702656","Catalog Record")</f>
        <v/>
      </c>
      <c r="AT322">
        <f>HYPERLINK("http://www.worldcat.org/oclc/10752640","WorldCat Record")</f>
        <v/>
      </c>
    </row>
    <row r="323">
      <c r="A323" t="inlineStr">
        <is>
          <t>No</t>
        </is>
      </c>
      <c r="B323" t="inlineStr">
        <is>
          <t>QV 50 C641 1988</t>
        </is>
      </c>
      <c r="C323" t="inlineStr">
        <is>
          <t>0                      QV 0050000C  641         1988</t>
        </is>
      </c>
      <c r="D323" t="inlineStr">
        <is>
          <t>Clinical pharmacology in dental practice / [edited by] Sam V. Holroyd, Richard L. Wynn, Barbara Requa-Clark.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St. Louis : Mosby, c1988.</t>
        </is>
      </c>
      <c r="M323" t="inlineStr">
        <is>
          <t>1988</t>
        </is>
      </c>
      <c r="N323" t="inlineStr">
        <is>
          <t>4th ed.</t>
        </is>
      </c>
      <c r="O323" t="inlineStr">
        <is>
          <t>eng</t>
        </is>
      </c>
      <c r="P323" t="inlineStr">
        <is>
          <t>xxu</t>
        </is>
      </c>
      <c r="R323" t="inlineStr">
        <is>
          <t xml:space="preserve">QV </t>
        </is>
      </c>
      <c r="S323" t="n">
        <v>9</v>
      </c>
      <c r="T323" t="n">
        <v>9</v>
      </c>
      <c r="U323" t="inlineStr">
        <is>
          <t>1995-09-07</t>
        </is>
      </c>
      <c r="V323" t="inlineStr">
        <is>
          <t>1995-09-07</t>
        </is>
      </c>
      <c r="W323" t="inlineStr">
        <is>
          <t>1988-02-17</t>
        </is>
      </c>
      <c r="X323" t="inlineStr">
        <is>
          <t>1988-02-17</t>
        </is>
      </c>
      <c r="Y323" t="n">
        <v>136</v>
      </c>
      <c r="Z323" t="n">
        <v>89</v>
      </c>
      <c r="AA323" t="n">
        <v>165</v>
      </c>
      <c r="AB323" t="n">
        <v>2</v>
      </c>
      <c r="AC323" t="n">
        <v>2</v>
      </c>
      <c r="AD323" t="n">
        <v>4</v>
      </c>
      <c r="AE323" t="n">
        <v>4</v>
      </c>
      <c r="AF323" t="n">
        <v>0</v>
      </c>
      <c r="AG323" t="n">
        <v>0</v>
      </c>
      <c r="AH323" t="n">
        <v>2</v>
      </c>
      <c r="AI323" t="n">
        <v>2</v>
      </c>
      <c r="AJ323" t="n">
        <v>2</v>
      </c>
      <c r="AK323" t="n">
        <v>2</v>
      </c>
      <c r="AL323" t="n">
        <v>1</v>
      </c>
      <c r="AM323" t="n">
        <v>1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HYPERLINK("http://catalog.hathitrust.org/Record/000885238","HathiTrust Record")</f>
        <v/>
      </c>
      <c r="AS323">
        <f>HYPERLINK("https://creighton-primo.hosted.exlibrisgroup.com/primo-explore/search?tab=default_tab&amp;search_scope=EVERYTHING&amp;vid=01CRU&amp;lang=en_US&amp;offset=0&amp;query=any,contains,991001539859702656","Catalog Record")</f>
        <v/>
      </c>
      <c r="AT323">
        <f>HYPERLINK("http://www.worldcat.org/oclc/16227161","WorldCat Record")</f>
        <v/>
      </c>
    </row>
    <row r="324">
      <c r="A324" t="inlineStr">
        <is>
          <t>No</t>
        </is>
      </c>
      <c r="B324" t="inlineStr">
        <is>
          <t>QV50 M71835 1996</t>
        </is>
      </c>
      <c r="C324" t="inlineStr">
        <is>
          <t>0                      QV 0050000M  71835       1996</t>
        </is>
      </c>
      <c r="D324" t="inlineStr">
        <is>
          <t>Molecular diagnosis of genetic diseases / edited by Rob Elles.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Totowa, N.J. : Humana Press, c1996.</t>
        </is>
      </c>
      <c r="M324" t="inlineStr">
        <is>
          <t>1996</t>
        </is>
      </c>
      <c r="O324" t="inlineStr">
        <is>
          <t>eng</t>
        </is>
      </c>
      <c r="P324" t="inlineStr">
        <is>
          <t>nju</t>
        </is>
      </c>
      <c r="Q324" t="inlineStr">
        <is>
          <t>Methods in molecular medicine</t>
        </is>
      </c>
      <c r="R324" t="inlineStr">
        <is>
          <t xml:space="preserve">QV </t>
        </is>
      </c>
      <c r="S324" t="n">
        <v>3</v>
      </c>
      <c r="T324" t="n">
        <v>3</v>
      </c>
      <c r="U324" t="inlineStr">
        <is>
          <t>2001-04-07</t>
        </is>
      </c>
      <c r="V324" t="inlineStr">
        <is>
          <t>2001-04-07</t>
        </is>
      </c>
      <c r="W324" t="inlineStr">
        <is>
          <t>1997-02-14</t>
        </is>
      </c>
      <c r="X324" t="inlineStr">
        <is>
          <t>1997-02-14</t>
        </is>
      </c>
      <c r="Y324" t="n">
        <v>155</v>
      </c>
      <c r="Z324" t="n">
        <v>82</v>
      </c>
      <c r="AA324" t="n">
        <v>154</v>
      </c>
      <c r="AB324" t="n">
        <v>2</v>
      </c>
      <c r="AC324" t="n">
        <v>4</v>
      </c>
      <c r="AD324" t="n">
        <v>2</v>
      </c>
      <c r="AE324" t="n">
        <v>6</v>
      </c>
      <c r="AF324" t="n">
        <v>1</v>
      </c>
      <c r="AG324" t="n">
        <v>2</v>
      </c>
      <c r="AH324" t="n">
        <v>0</v>
      </c>
      <c r="AI324" t="n">
        <v>1</v>
      </c>
      <c r="AJ324" t="n">
        <v>1</v>
      </c>
      <c r="AK324" t="n">
        <v>2</v>
      </c>
      <c r="AL324" t="n">
        <v>1</v>
      </c>
      <c r="AM324" t="n">
        <v>3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HYPERLINK("http://catalog.hathitrust.org/Record/003104172","HathiTrust Record")</f>
        <v/>
      </c>
      <c r="AS324">
        <f>HYPERLINK("https://creighton-primo.hosted.exlibrisgroup.com/primo-explore/search?tab=default_tab&amp;search_scope=EVERYTHING&amp;vid=01CRU&amp;lang=en_US&amp;offset=0&amp;query=any,contains,991001558899702656","Catalog Record")</f>
        <v/>
      </c>
      <c r="AT324">
        <f>HYPERLINK("http://www.worldcat.org/oclc/34724611","WorldCat Record")</f>
        <v/>
      </c>
    </row>
    <row r="325">
      <c r="A325" t="inlineStr">
        <is>
          <t>No</t>
        </is>
      </c>
      <c r="B325" t="inlineStr">
        <is>
          <t>QV 50 N397p 1985</t>
        </is>
      </c>
      <c r="C325" t="inlineStr">
        <is>
          <t>0                      QV 0050000N  397p        1985</t>
        </is>
      </c>
      <c r="D325" t="inlineStr">
        <is>
          <t>Pharmacology and therapeutics for dentistry / Enid A. Neidle, Donald C. Kroeger, John A. Yagiela.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Yes</t>
        </is>
      </c>
      <c r="J325" t="inlineStr">
        <is>
          <t>1</t>
        </is>
      </c>
      <c r="K325" t="inlineStr">
        <is>
          <t>Neidle, Enid Anne.</t>
        </is>
      </c>
      <c r="L325" t="inlineStr">
        <is>
          <t>St. Louis : Mosby, c1985.</t>
        </is>
      </c>
      <c r="M325" t="inlineStr">
        <is>
          <t>1985</t>
        </is>
      </c>
      <c r="N325" t="inlineStr">
        <is>
          <t>2nd ed.</t>
        </is>
      </c>
      <c r="O325" t="inlineStr">
        <is>
          <t>eng</t>
        </is>
      </c>
      <c r="P325" t="inlineStr">
        <is>
          <t xml:space="preserve">xx </t>
        </is>
      </c>
      <c r="R325" t="inlineStr">
        <is>
          <t xml:space="preserve">QV </t>
        </is>
      </c>
      <c r="S325" t="n">
        <v>94</v>
      </c>
      <c r="T325" t="n">
        <v>94</v>
      </c>
      <c r="U325" t="inlineStr">
        <is>
          <t>2002-09-08</t>
        </is>
      </c>
      <c r="V325" t="inlineStr">
        <is>
          <t>2002-09-08</t>
        </is>
      </c>
      <c r="W325" t="inlineStr">
        <is>
          <t>1987-09-28</t>
        </is>
      </c>
      <c r="X325" t="inlineStr">
        <is>
          <t>1987-09-28</t>
        </is>
      </c>
      <c r="Y325" t="n">
        <v>102</v>
      </c>
      <c r="Z325" t="n">
        <v>67</v>
      </c>
      <c r="AA325" t="n">
        <v>302</v>
      </c>
      <c r="AB325" t="n">
        <v>2</v>
      </c>
      <c r="AC325" t="n">
        <v>4</v>
      </c>
      <c r="AD325" t="n">
        <v>2</v>
      </c>
      <c r="AE325" t="n">
        <v>10</v>
      </c>
      <c r="AF325" t="n">
        <v>0</v>
      </c>
      <c r="AG325" t="n">
        <v>1</v>
      </c>
      <c r="AH325" t="n">
        <v>0</v>
      </c>
      <c r="AI325" t="n">
        <v>4</v>
      </c>
      <c r="AJ325" t="n">
        <v>1</v>
      </c>
      <c r="AK325" t="n">
        <v>3</v>
      </c>
      <c r="AL325" t="n">
        <v>1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HYPERLINK("http://catalog.hathitrust.org/Record/000605453","HathiTrust Record")</f>
        <v/>
      </c>
      <c r="AS325">
        <f>HYPERLINK("https://creighton-primo.hosted.exlibrisgroup.com/primo-explore/search?tab=default_tab&amp;search_scope=EVERYTHING&amp;vid=01CRU&amp;lang=en_US&amp;offset=0&amp;query=any,contains,991000747759702656","Catalog Record")</f>
        <v/>
      </c>
      <c r="AT325">
        <f>HYPERLINK("http://www.worldcat.org/oclc/10711747","WorldCat Record")</f>
        <v/>
      </c>
    </row>
    <row r="326">
      <c r="A326" t="inlineStr">
        <is>
          <t>No</t>
        </is>
      </c>
      <c r="B326" t="inlineStr">
        <is>
          <t>QV 50 N397p 1989</t>
        </is>
      </c>
      <c r="C326" t="inlineStr">
        <is>
          <t>0                      QV 0050000N  397p        1989</t>
        </is>
      </c>
      <c r="D326" t="inlineStr">
        <is>
          <t>Pharmacology and therapeutics for dentistry / Enid A. Neidle, John A. Yagiela.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Yes</t>
        </is>
      </c>
      <c r="J326" t="inlineStr">
        <is>
          <t>1</t>
        </is>
      </c>
      <c r="K326" t="inlineStr">
        <is>
          <t>Neidle, Enid Anne.</t>
        </is>
      </c>
      <c r="L326" t="inlineStr">
        <is>
          <t>St. Louis : Mosby, c1989.</t>
        </is>
      </c>
      <c r="M326" t="inlineStr">
        <is>
          <t>1989</t>
        </is>
      </c>
      <c r="N326" t="inlineStr">
        <is>
          <t>3rd ed.</t>
        </is>
      </c>
      <c r="O326" t="inlineStr">
        <is>
          <t>eng</t>
        </is>
      </c>
      <c r="P326" t="inlineStr">
        <is>
          <t>xxu</t>
        </is>
      </c>
      <c r="R326" t="inlineStr">
        <is>
          <t xml:space="preserve">QV </t>
        </is>
      </c>
      <c r="S326" t="n">
        <v>93</v>
      </c>
      <c r="T326" t="n">
        <v>93</v>
      </c>
      <c r="U326" t="inlineStr">
        <is>
          <t>2006-02-28</t>
        </is>
      </c>
      <c r="V326" t="inlineStr">
        <is>
          <t>2006-02-28</t>
        </is>
      </c>
      <c r="W326" t="inlineStr">
        <is>
          <t>1989-07-29</t>
        </is>
      </c>
      <c r="X326" t="inlineStr">
        <is>
          <t>1989-07-29</t>
        </is>
      </c>
      <c r="Y326" t="n">
        <v>102</v>
      </c>
      <c r="Z326" t="n">
        <v>66</v>
      </c>
      <c r="AA326" t="n">
        <v>302</v>
      </c>
      <c r="AB326" t="n">
        <v>1</v>
      </c>
      <c r="AC326" t="n">
        <v>4</v>
      </c>
      <c r="AD326" t="n">
        <v>2</v>
      </c>
      <c r="AE326" t="n">
        <v>10</v>
      </c>
      <c r="AF326" t="n">
        <v>0</v>
      </c>
      <c r="AG326" t="n">
        <v>1</v>
      </c>
      <c r="AH326" t="n">
        <v>1</v>
      </c>
      <c r="AI326" t="n">
        <v>4</v>
      </c>
      <c r="AJ326" t="n">
        <v>1</v>
      </c>
      <c r="AK326" t="n">
        <v>3</v>
      </c>
      <c r="AL326" t="n">
        <v>0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HYPERLINK("http://catalog.hathitrust.org/Record/001528424","HathiTrust Record")</f>
        <v/>
      </c>
      <c r="AS326">
        <f>HYPERLINK("https://creighton-primo.hosted.exlibrisgroup.com/primo-explore/search?tab=default_tab&amp;search_scope=EVERYTHING&amp;vid=01CRU&amp;lang=en_US&amp;offset=0&amp;query=any,contains,991001312459702656","Catalog Record")</f>
        <v/>
      </c>
      <c r="AT326">
        <f>HYPERLINK("http://www.worldcat.org/oclc/18558213","WorldCat Record")</f>
        <v/>
      </c>
    </row>
    <row r="327">
      <c r="A327" t="inlineStr">
        <is>
          <t>No</t>
        </is>
      </c>
      <c r="B327" t="inlineStr">
        <is>
          <t>QV 50 N397p 1998</t>
        </is>
      </c>
      <c r="C327" t="inlineStr">
        <is>
          <t>0                      QV 0050000N  397p        1998</t>
        </is>
      </c>
      <c r="D327" t="inlineStr">
        <is>
          <t>Pharmacology and therapeutics for dentistry / [edited by] John A. Yagiela, Enid A. Neidle, Frank J. Dowd.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Yes</t>
        </is>
      </c>
      <c r="J327" t="inlineStr">
        <is>
          <t>1</t>
        </is>
      </c>
      <c r="L327" t="inlineStr">
        <is>
          <t>St. Louis : Mosby, c1998.</t>
        </is>
      </c>
      <c r="M327" t="inlineStr">
        <is>
          <t>1998</t>
        </is>
      </c>
      <c r="N327" t="inlineStr">
        <is>
          <t>4th ed.</t>
        </is>
      </c>
      <c r="O327" t="inlineStr">
        <is>
          <t>eng</t>
        </is>
      </c>
      <c r="P327" t="inlineStr">
        <is>
          <t>mou</t>
        </is>
      </c>
      <c r="R327" t="inlineStr">
        <is>
          <t xml:space="preserve">QV </t>
        </is>
      </c>
      <c r="S327" t="n">
        <v>110</v>
      </c>
      <c r="T327" t="n">
        <v>110</v>
      </c>
      <c r="U327" t="inlineStr">
        <is>
          <t>2010-03-16</t>
        </is>
      </c>
      <c r="V327" t="inlineStr">
        <is>
          <t>2010-03-16</t>
        </is>
      </c>
      <c r="W327" t="inlineStr">
        <is>
          <t>1998-01-16</t>
        </is>
      </c>
      <c r="X327" t="inlineStr">
        <is>
          <t>1998-01-16</t>
        </is>
      </c>
      <c r="Y327" t="n">
        <v>128</v>
      </c>
      <c r="Z327" t="n">
        <v>82</v>
      </c>
      <c r="AA327" t="n">
        <v>302</v>
      </c>
      <c r="AB327" t="n">
        <v>1</v>
      </c>
      <c r="AC327" t="n">
        <v>4</v>
      </c>
      <c r="AD327" t="n">
        <v>2</v>
      </c>
      <c r="AE327" t="n">
        <v>10</v>
      </c>
      <c r="AF327" t="n">
        <v>0</v>
      </c>
      <c r="AG327" t="n">
        <v>1</v>
      </c>
      <c r="AH327" t="n">
        <v>1</v>
      </c>
      <c r="AI327" t="n">
        <v>4</v>
      </c>
      <c r="AJ327" t="n">
        <v>1</v>
      </c>
      <c r="AK327" t="n">
        <v>3</v>
      </c>
      <c r="AL327" t="n">
        <v>0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HYPERLINK("http://catalog.hathitrust.org/Record/003242482","HathiTrust Record")</f>
        <v/>
      </c>
      <c r="AS327">
        <f>HYPERLINK("https://creighton-primo.hosted.exlibrisgroup.com/primo-explore/search?tab=default_tab&amp;search_scope=EVERYTHING&amp;vid=01CRU&amp;lang=en_US&amp;offset=0&amp;query=any,contains,991001293969702656","Catalog Record")</f>
        <v/>
      </c>
      <c r="AT327">
        <f>HYPERLINK("http://www.worldcat.org/oclc/41017283","WorldCat Record")</f>
        <v/>
      </c>
    </row>
    <row r="328">
      <c r="A328" t="inlineStr">
        <is>
          <t>No</t>
        </is>
      </c>
      <c r="B328" t="inlineStr">
        <is>
          <t>QV 50 O48s 1991</t>
        </is>
      </c>
      <c r="C328" t="inlineStr">
        <is>
          <t>0                      QV 0050000O  48s         1991</t>
        </is>
      </c>
      <c r="D328" t="inlineStr">
        <is>
          <t>Studies on the kinetics of fluoride in human saliva and its effects on plaque acidogenicity / by Anette Oliveby.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Oliveby, Anette.</t>
        </is>
      </c>
      <c r="L328" t="inlineStr">
        <is>
          <t>Stockholm : Kongl. Carolinska Medico Chirurgiska Institutet, 1991.</t>
        </is>
      </c>
      <c r="M328" t="inlineStr">
        <is>
          <t>1991</t>
        </is>
      </c>
      <c r="O328" t="inlineStr">
        <is>
          <t>eng</t>
        </is>
      </c>
      <c r="P328" t="inlineStr">
        <is>
          <t xml:space="preserve">sw </t>
        </is>
      </c>
      <c r="R328" t="inlineStr">
        <is>
          <t xml:space="preserve">QV </t>
        </is>
      </c>
      <c r="S328" t="n">
        <v>2</v>
      </c>
      <c r="T328" t="n">
        <v>2</v>
      </c>
      <c r="U328" t="inlineStr">
        <is>
          <t>1991-07-01</t>
        </is>
      </c>
      <c r="V328" t="inlineStr">
        <is>
          <t>1991-07-01</t>
        </is>
      </c>
      <c r="W328" t="inlineStr">
        <is>
          <t>1991-07-01</t>
        </is>
      </c>
      <c r="X328" t="inlineStr">
        <is>
          <t>1991-07-01</t>
        </is>
      </c>
      <c r="Y328" t="n">
        <v>14</v>
      </c>
      <c r="Z328" t="n">
        <v>12</v>
      </c>
      <c r="AA328" t="n">
        <v>14</v>
      </c>
      <c r="AB328" t="n">
        <v>1</v>
      </c>
      <c r="AC328" t="n">
        <v>1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HYPERLINK("http://catalog.hathitrust.org/Record/003947834","HathiTrust Record")</f>
        <v/>
      </c>
      <c r="AS328">
        <f>HYPERLINK("https://creighton-primo.hosted.exlibrisgroup.com/primo-explore/search?tab=default_tab&amp;search_scope=EVERYTHING&amp;vid=01CRU&amp;lang=en_US&amp;offset=0&amp;query=any,contains,991000942599702656","Catalog Record")</f>
        <v/>
      </c>
      <c r="AT328">
        <f>HYPERLINK("http://www.worldcat.org/oclc/24041830","WorldCat Record")</f>
        <v/>
      </c>
    </row>
    <row r="329">
      <c r="A329" t="inlineStr">
        <is>
          <t>No</t>
        </is>
      </c>
      <c r="B329" t="inlineStr">
        <is>
          <t>QV 50 P164c 1973</t>
        </is>
      </c>
      <c r="C329" t="inlineStr">
        <is>
          <t>0                      QV 0050000P  164c        1973</t>
        </is>
      </c>
      <c r="D329" t="inlineStr">
        <is>
          <t>Clinical drug therapy in dental practice / Thomas J. Pallasch.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Pallasch, Thomas J.</t>
        </is>
      </c>
      <c r="L329" t="inlineStr">
        <is>
          <t>Philadelphia : Lea &amp; Febiger, 1973.</t>
        </is>
      </c>
      <c r="M329" t="inlineStr">
        <is>
          <t>1973</t>
        </is>
      </c>
      <c r="O329" t="inlineStr">
        <is>
          <t>eng</t>
        </is>
      </c>
      <c r="P329" t="inlineStr">
        <is>
          <t>pau</t>
        </is>
      </c>
      <c r="R329" t="inlineStr">
        <is>
          <t xml:space="preserve">QV </t>
        </is>
      </c>
      <c r="S329" t="n">
        <v>4</v>
      </c>
      <c r="T329" t="n">
        <v>4</v>
      </c>
      <c r="U329" t="inlineStr">
        <is>
          <t>2002-10-21</t>
        </is>
      </c>
      <c r="V329" t="inlineStr">
        <is>
          <t>2002-10-21</t>
        </is>
      </c>
      <c r="W329" t="inlineStr">
        <is>
          <t>1988-03-01</t>
        </is>
      </c>
      <c r="X329" t="inlineStr">
        <is>
          <t>1988-03-01</t>
        </is>
      </c>
      <c r="Y329" t="n">
        <v>109</v>
      </c>
      <c r="Z329" t="n">
        <v>69</v>
      </c>
      <c r="AA329" t="n">
        <v>72</v>
      </c>
      <c r="AB329" t="n">
        <v>2</v>
      </c>
      <c r="AC329" t="n">
        <v>2</v>
      </c>
      <c r="AD329" t="n">
        <v>3</v>
      </c>
      <c r="AE329" t="n">
        <v>3</v>
      </c>
      <c r="AF329" t="n">
        <v>0</v>
      </c>
      <c r="AG329" t="n">
        <v>0</v>
      </c>
      <c r="AH329" t="n">
        <v>1</v>
      </c>
      <c r="AI329" t="n">
        <v>1</v>
      </c>
      <c r="AJ329" t="n">
        <v>2</v>
      </c>
      <c r="AK329" t="n">
        <v>2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HYPERLINK("http://catalog.hathitrust.org/Record/001579235","HathiTrust Record")</f>
        <v/>
      </c>
      <c r="AS329">
        <f>HYPERLINK("https://creighton-primo.hosted.exlibrisgroup.com/primo-explore/search?tab=default_tab&amp;search_scope=EVERYTHING&amp;vid=01CRU&amp;lang=en_US&amp;offset=0&amp;query=any,contains,991000953329702656","Catalog Record")</f>
        <v/>
      </c>
      <c r="AT329">
        <f>HYPERLINK("http://www.worldcat.org/oclc/659042","WorldCat Record")</f>
        <v/>
      </c>
    </row>
    <row r="330">
      <c r="A330" t="inlineStr">
        <is>
          <t>No</t>
        </is>
      </c>
      <c r="B330" t="inlineStr">
        <is>
          <t>QV 50 P164p 1980</t>
        </is>
      </c>
      <c r="C330" t="inlineStr">
        <is>
          <t>0                      QV 0050000P  164p        1980</t>
        </is>
      </c>
      <c r="D330" t="inlineStr">
        <is>
          <t>Pharmacology for dental students and practitioners / Thomas J. Pallasch.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Pallasch, Thomas J.</t>
        </is>
      </c>
      <c r="L330" t="inlineStr">
        <is>
          <t>Philadelphia : Lea &amp; Febiger, 1980.</t>
        </is>
      </c>
      <c r="M330" t="inlineStr">
        <is>
          <t>1980</t>
        </is>
      </c>
      <c r="O330" t="inlineStr">
        <is>
          <t>eng</t>
        </is>
      </c>
      <c r="P330" t="inlineStr">
        <is>
          <t>pau</t>
        </is>
      </c>
      <c r="R330" t="inlineStr">
        <is>
          <t xml:space="preserve">QV </t>
        </is>
      </c>
      <c r="S330" t="n">
        <v>11</v>
      </c>
      <c r="T330" t="n">
        <v>11</v>
      </c>
      <c r="U330" t="inlineStr">
        <is>
          <t>1992-09-25</t>
        </is>
      </c>
      <c r="V330" t="inlineStr">
        <is>
          <t>1992-09-25</t>
        </is>
      </c>
      <c r="W330" t="inlineStr">
        <is>
          <t>1988-02-04</t>
        </is>
      </c>
      <c r="X330" t="inlineStr">
        <is>
          <t>1988-02-04</t>
        </is>
      </c>
      <c r="Y330" t="n">
        <v>98</v>
      </c>
      <c r="Z330" t="n">
        <v>58</v>
      </c>
      <c r="AA330" t="n">
        <v>60</v>
      </c>
      <c r="AB330" t="n">
        <v>2</v>
      </c>
      <c r="AC330" t="n">
        <v>2</v>
      </c>
      <c r="AD330" t="n">
        <v>3</v>
      </c>
      <c r="AE330" t="n">
        <v>3</v>
      </c>
      <c r="AF330" t="n">
        <v>0</v>
      </c>
      <c r="AG330" t="n">
        <v>0</v>
      </c>
      <c r="AH330" t="n">
        <v>1</v>
      </c>
      <c r="AI330" t="n">
        <v>1</v>
      </c>
      <c r="AJ330" t="n">
        <v>2</v>
      </c>
      <c r="AK330" t="n">
        <v>2</v>
      </c>
      <c r="AL330" t="n">
        <v>1</v>
      </c>
      <c r="AM330" t="n">
        <v>1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HYPERLINK("http://catalog.hathitrust.org/Record/000019120","HathiTrust Record")</f>
        <v/>
      </c>
      <c r="AS330">
        <f>HYPERLINK("https://creighton-primo.hosted.exlibrisgroup.com/primo-explore/search?tab=default_tab&amp;search_scope=EVERYTHING&amp;vid=01CRU&amp;lang=en_US&amp;offset=0&amp;query=any,contains,991000953349702656","Catalog Record")</f>
        <v/>
      </c>
      <c r="AT330">
        <f>HYPERLINK("http://www.worldcat.org/oclc/5171251","WorldCat Record")</f>
        <v/>
      </c>
    </row>
    <row r="331">
      <c r="A331" t="inlineStr">
        <is>
          <t>No</t>
        </is>
      </c>
      <c r="B331" t="inlineStr">
        <is>
          <t>QV 50 P164s 1974</t>
        </is>
      </c>
      <c r="C331" t="inlineStr">
        <is>
          <t>0                      QV 0050000P  164s        1974</t>
        </is>
      </c>
      <c r="D331" t="inlineStr">
        <is>
          <t>Synopsis of pharmacology for students in dentistry / Thomas J. Pallasch and Richard M. Oksas.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Pallasch, Thomas J.</t>
        </is>
      </c>
      <c r="L331" t="inlineStr">
        <is>
          <t>-- Philadelphia : Lea &amp; Febiger, 1974.</t>
        </is>
      </c>
      <c r="M331" t="inlineStr">
        <is>
          <t>1974</t>
        </is>
      </c>
      <c r="O331" t="inlineStr">
        <is>
          <t>eng</t>
        </is>
      </c>
      <c r="P331" t="inlineStr">
        <is>
          <t>pau</t>
        </is>
      </c>
      <c r="R331" t="inlineStr">
        <is>
          <t xml:space="preserve">QV </t>
        </is>
      </c>
      <c r="S331" t="n">
        <v>12</v>
      </c>
      <c r="T331" t="n">
        <v>12</v>
      </c>
      <c r="U331" t="inlineStr">
        <is>
          <t>1995-02-28</t>
        </is>
      </c>
      <c r="V331" t="inlineStr">
        <is>
          <t>1995-02-28</t>
        </is>
      </c>
      <c r="W331" t="inlineStr">
        <is>
          <t>1988-01-19</t>
        </is>
      </c>
      <c r="X331" t="inlineStr">
        <is>
          <t>1988-01-19</t>
        </is>
      </c>
      <c r="Y331" t="n">
        <v>75</v>
      </c>
      <c r="Z331" t="n">
        <v>51</v>
      </c>
      <c r="AA331" t="n">
        <v>54</v>
      </c>
      <c r="AB331" t="n">
        <v>1</v>
      </c>
      <c r="AC331" t="n">
        <v>1</v>
      </c>
      <c r="AD331" t="n">
        <v>1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1</v>
      </c>
      <c r="AL331" t="n">
        <v>0</v>
      </c>
      <c r="AM331" t="n">
        <v>0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HYPERLINK("http://catalog.hathitrust.org/Record/001579236","HathiTrust Record")</f>
        <v/>
      </c>
      <c r="AS331">
        <f>HYPERLINK("https://creighton-primo.hosted.exlibrisgroup.com/primo-explore/search?tab=default_tab&amp;search_scope=EVERYTHING&amp;vid=01CRU&amp;lang=en_US&amp;offset=0&amp;query=any,contains,991001003019702656","Catalog Record")</f>
        <v/>
      </c>
      <c r="AT331">
        <f>HYPERLINK("http://www.worldcat.org/oclc/914911","WorldCat Record")</f>
        <v/>
      </c>
    </row>
    <row r="332">
      <c r="A332" t="inlineStr">
        <is>
          <t>No</t>
        </is>
      </c>
      <c r="B332" t="inlineStr">
        <is>
          <t>QV 50 S521d 1999</t>
        </is>
      </c>
      <c r="C332" t="inlineStr">
        <is>
          <t>0                      QV 0050000S  521d        1999</t>
        </is>
      </c>
      <c r="D332" t="inlineStr">
        <is>
          <t>Pharmacology and dental therapeutics / Robin A. Seymour, John G. Meechan, and Michael S. Yates.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Seymour, R. A.</t>
        </is>
      </c>
      <c r="L332" t="inlineStr">
        <is>
          <t>Oxford ; New York : Oxford University Press, 1999.</t>
        </is>
      </c>
      <c r="M332" t="inlineStr">
        <is>
          <t>1999</t>
        </is>
      </c>
      <c r="N332" t="inlineStr">
        <is>
          <t>3rd ed.</t>
        </is>
      </c>
      <c r="O332" t="inlineStr">
        <is>
          <t>eng</t>
        </is>
      </c>
      <c r="P332" t="inlineStr">
        <is>
          <t>enk</t>
        </is>
      </c>
      <c r="Q332" t="inlineStr">
        <is>
          <t>Oxford medical publications</t>
        </is>
      </c>
      <c r="R332" t="inlineStr">
        <is>
          <t xml:space="preserve">QV </t>
        </is>
      </c>
      <c r="S332" t="n">
        <v>6</v>
      </c>
      <c r="T332" t="n">
        <v>6</v>
      </c>
      <c r="U332" t="inlineStr">
        <is>
          <t>2008-09-20</t>
        </is>
      </c>
      <c r="V332" t="inlineStr">
        <is>
          <t>2008-09-20</t>
        </is>
      </c>
      <c r="W332" t="inlineStr">
        <is>
          <t>2002-05-10</t>
        </is>
      </c>
      <c r="X332" t="inlineStr">
        <is>
          <t>2002-05-10</t>
        </is>
      </c>
      <c r="Y332" t="n">
        <v>47</v>
      </c>
      <c r="Z332" t="n">
        <v>14</v>
      </c>
      <c r="AA332" t="n">
        <v>59</v>
      </c>
      <c r="AB332" t="n">
        <v>1</v>
      </c>
      <c r="AC332" t="n">
        <v>2</v>
      </c>
      <c r="AD332" t="n">
        <v>0</v>
      </c>
      <c r="AE332" t="n">
        <v>4</v>
      </c>
      <c r="AF332" t="n">
        <v>0</v>
      </c>
      <c r="AG332" t="n">
        <v>0</v>
      </c>
      <c r="AH332" t="n">
        <v>0</v>
      </c>
      <c r="AI332" t="n">
        <v>2</v>
      </c>
      <c r="AJ332" t="n">
        <v>0</v>
      </c>
      <c r="AK332" t="n">
        <v>2</v>
      </c>
      <c r="AL332" t="n">
        <v>0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HYPERLINK("https://creighton-primo.hosted.exlibrisgroup.com/primo-explore/search?tab=default_tab&amp;search_scope=EVERYTHING&amp;vid=01CRU&amp;lang=en_US&amp;offset=0&amp;query=any,contains,991000331259702656","Catalog Record")</f>
        <v/>
      </c>
      <c r="AT332">
        <f>HYPERLINK("http://www.worldcat.org/oclc/48381103","WorldCat Record")</f>
        <v/>
      </c>
    </row>
    <row r="333">
      <c r="A333" t="inlineStr">
        <is>
          <t>No</t>
        </is>
      </c>
      <c r="B333" t="inlineStr">
        <is>
          <t>QV 50 S797c 1984</t>
        </is>
      </c>
      <c r="C333" t="inlineStr">
        <is>
          <t>0                      QV 0050000S  797c        1984</t>
        </is>
      </c>
      <c r="D333" t="inlineStr">
        <is>
          <t>Clinical uses of fluorides / a State of the Art Conference on the Uses of Fluorides in Clinical Dentistry ; edited by Stephen H.Y. Wei.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State of the Art Conference on the Uses of Fluorides in Clinical Dentistry (1984 : San Francisco, Calif.)</t>
        </is>
      </c>
      <c r="L333" t="inlineStr">
        <is>
          <t>Philadelphia : Lea &amp; Febiger, c1985.</t>
        </is>
      </c>
      <c r="M333" t="inlineStr">
        <is>
          <t>1985</t>
        </is>
      </c>
      <c r="O333" t="inlineStr">
        <is>
          <t>eng</t>
        </is>
      </c>
      <c r="P333" t="inlineStr">
        <is>
          <t>xxu</t>
        </is>
      </c>
      <c r="R333" t="inlineStr">
        <is>
          <t xml:space="preserve">QV </t>
        </is>
      </c>
      <c r="S333" t="n">
        <v>3</v>
      </c>
      <c r="T333" t="n">
        <v>3</v>
      </c>
      <c r="U333" t="inlineStr">
        <is>
          <t>1989-03-01</t>
        </is>
      </c>
      <c r="V333" t="inlineStr">
        <is>
          <t>1989-03-01</t>
        </is>
      </c>
      <c r="W333" t="inlineStr">
        <is>
          <t>1988-02-04</t>
        </is>
      </c>
      <c r="X333" t="inlineStr">
        <is>
          <t>1988-02-04</t>
        </is>
      </c>
      <c r="Y333" t="n">
        <v>34</v>
      </c>
      <c r="Z333" t="n">
        <v>22</v>
      </c>
      <c r="AA333" t="n">
        <v>104</v>
      </c>
      <c r="AB333" t="n">
        <v>1</v>
      </c>
      <c r="AC333" t="n">
        <v>2</v>
      </c>
      <c r="AD333" t="n">
        <v>1</v>
      </c>
      <c r="AE333" t="n">
        <v>4</v>
      </c>
      <c r="AF333" t="n">
        <v>0</v>
      </c>
      <c r="AG333" t="n">
        <v>0</v>
      </c>
      <c r="AH333" t="n">
        <v>1</v>
      </c>
      <c r="AI333" t="n">
        <v>2</v>
      </c>
      <c r="AJ333" t="n">
        <v>0</v>
      </c>
      <c r="AK333" t="n">
        <v>2</v>
      </c>
      <c r="AL333" t="n">
        <v>0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HYPERLINK("https://creighton-primo.hosted.exlibrisgroup.com/primo-explore/search?tab=default_tab&amp;search_scope=EVERYTHING&amp;vid=01CRU&amp;lang=en_US&amp;offset=0&amp;query=any,contains,991000953419702656","Catalog Record")</f>
        <v/>
      </c>
      <c r="AT333">
        <f>HYPERLINK("http://www.worldcat.org/oclc/11068408","WorldCat Record")</f>
        <v/>
      </c>
    </row>
    <row r="334">
      <c r="A334" t="inlineStr">
        <is>
          <t>No</t>
        </is>
      </c>
      <c r="B334" t="inlineStr">
        <is>
          <t>QV 50 W239t 1994</t>
        </is>
      </c>
      <c r="C334" t="inlineStr">
        <is>
          <t>0                      QV 0050000W  239t        1994</t>
        </is>
      </c>
      <c r="D334" t="inlineStr">
        <is>
          <t>Textbook of dental pharmacology and therapeutics / J.G. Walton, John W. Thompson, and Robin A. Seymour.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Walton, J. G.</t>
        </is>
      </c>
      <c r="L334" t="inlineStr">
        <is>
          <t>Oxford ; New York : Oxford University Press, c1994.</t>
        </is>
      </c>
      <c r="M334" t="inlineStr">
        <is>
          <t>1994</t>
        </is>
      </c>
      <c r="N334" t="inlineStr">
        <is>
          <t>2nd ed.</t>
        </is>
      </c>
      <c r="O334" t="inlineStr">
        <is>
          <t>eng</t>
        </is>
      </c>
      <c r="P334" t="inlineStr">
        <is>
          <t>enk</t>
        </is>
      </c>
      <c r="Q334" t="inlineStr">
        <is>
          <t>Oxford medical publications</t>
        </is>
      </c>
      <c r="R334" t="inlineStr">
        <is>
          <t xml:space="preserve">QV </t>
        </is>
      </c>
      <c r="S334" t="n">
        <v>11</v>
      </c>
      <c r="T334" t="n">
        <v>11</v>
      </c>
      <c r="U334" t="inlineStr">
        <is>
          <t>2002-01-10</t>
        </is>
      </c>
      <c r="V334" t="inlineStr">
        <is>
          <t>2002-01-10</t>
        </is>
      </c>
      <c r="W334" t="inlineStr">
        <is>
          <t>1995-04-21</t>
        </is>
      </c>
      <c r="X334" t="inlineStr">
        <is>
          <t>1995-04-21</t>
        </is>
      </c>
      <c r="Y334" t="n">
        <v>97</v>
      </c>
      <c r="Z334" t="n">
        <v>46</v>
      </c>
      <c r="AA334" t="n">
        <v>71</v>
      </c>
      <c r="AB334" t="n">
        <v>1</v>
      </c>
      <c r="AC334" t="n">
        <v>1</v>
      </c>
      <c r="AD334" t="n">
        <v>2</v>
      </c>
      <c r="AE334" t="n">
        <v>2</v>
      </c>
      <c r="AF334" t="n">
        <v>0</v>
      </c>
      <c r="AG334" t="n">
        <v>0</v>
      </c>
      <c r="AH334" t="n">
        <v>1</v>
      </c>
      <c r="AI334" t="n">
        <v>1</v>
      </c>
      <c r="AJ334" t="n">
        <v>2</v>
      </c>
      <c r="AK334" t="n">
        <v>2</v>
      </c>
      <c r="AL334" t="n">
        <v>0</v>
      </c>
      <c r="AM334" t="n">
        <v>0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HYPERLINK("http://catalog.hathitrust.org/Record/002906769","HathiTrust Record")</f>
        <v/>
      </c>
      <c r="AS334">
        <f>HYPERLINK("https://creighton-primo.hosted.exlibrisgroup.com/primo-explore/search?tab=default_tab&amp;search_scope=EVERYTHING&amp;vid=01CRU&amp;lang=en_US&amp;offset=0&amp;query=any,contains,991001399349702656","Catalog Record")</f>
        <v/>
      </c>
      <c r="AT334">
        <f>HYPERLINK("http://www.worldcat.org/oclc/29877093","WorldCat Record")</f>
        <v/>
      </c>
    </row>
    <row r="335">
      <c r="A335" t="inlineStr">
        <is>
          <t>No</t>
        </is>
      </c>
      <c r="B335" t="inlineStr">
        <is>
          <t>QV55 A161c 2007</t>
        </is>
      </c>
      <c r="C335" t="inlineStr">
        <is>
          <t>0                      QV 0055000A  161c        2007</t>
        </is>
      </c>
      <c r="D335" t="inlineStr">
        <is>
          <t>Clinical drug therapy : rationales for nursing practice / Anne Collins Abrams, Carol Barnett Lammon, Sandra Smith Pennington ; consultant, Tracey L. Goldsmith.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Yes</t>
        </is>
      </c>
      <c r="J335" t="inlineStr">
        <is>
          <t>0</t>
        </is>
      </c>
      <c r="K335" t="inlineStr">
        <is>
          <t>Abrams, Anne Collins.</t>
        </is>
      </c>
      <c r="L335" t="inlineStr">
        <is>
          <t>Philadelphia : Lippincott Williams &amp; Wilkins, c2007.</t>
        </is>
      </c>
      <c r="M335" t="inlineStr">
        <is>
          <t>2007</t>
        </is>
      </c>
      <c r="N335" t="inlineStr">
        <is>
          <t>8th ed.</t>
        </is>
      </c>
      <c r="O335" t="inlineStr">
        <is>
          <t>eng</t>
        </is>
      </c>
      <c r="P335" t="inlineStr">
        <is>
          <t>pau</t>
        </is>
      </c>
      <c r="R335" t="inlineStr">
        <is>
          <t xml:space="preserve">QV </t>
        </is>
      </c>
      <c r="S335" t="n">
        <v>2</v>
      </c>
      <c r="T335" t="n">
        <v>2</v>
      </c>
      <c r="U335" t="inlineStr">
        <is>
          <t>2006-04-05</t>
        </is>
      </c>
      <c r="V335" t="inlineStr">
        <is>
          <t>2006-04-05</t>
        </is>
      </c>
      <c r="W335" t="inlineStr">
        <is>
          <t>2006-03-30</t>
        </is>
      </c>
      <c r="X335" t="inlineStr">
        <is>
          <t>2006-03-30</t>
        </is>
      </c>
      <c r="Y335" t="n">
        <v>274</v>
      </c>
      <c r="Z335" t="n">
        <v>210</v>
      </c>
      <c r="AA335" t="n">
        <v>731</v>
      </c>
      <c r="AB335" t="n">
        <v>1</v>
      </c>
      <c r="AC335" t="n">
        <v>3</v>
      </c>
      <c r="AD335" t="n">
        <v>3</v>
      </c>
      <c r="AE335" t="n">
        <v>21</v>
      </c>
      <c r="AF335" t="n">
        <v>2</v>
      </c>
      <c r="AG335" t="n">
        <v>11</v>
      </c>
      <c r="AH335" t="n">
        <v>0</v>
      </c>
      <c r="AI335" t="n">
        <v>3</v>
      </c>
      <c r="AJ335" t="n">
        <v>1</v>
      </c>
      <c r="AK335" t="n">
        <v>10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HYPERLINK("https://creighton-primo.hosted.exlibrisgroup.com/primo-explore/search?tab=default_tab&amp;search_scope=EVERYTHING&amp;vid=01CRU&amp;lang=en_US&amp;offset=0&amp;query=any,contains,991001738049702656","Catalog Record")</f>
        <v/>
      </c>
      <c r="AT335">
        <f>HYPERLINK("http://www.worldcat.org/oclc/62078260","WorldCat Record")</f>
        <v/>
      </c>
    </row>
    <row r="336">
      <c r="A336" t="inlineStr">
        <is>
          <t>No</t>
        </is>
      </c>
      <c r="B336" t="inlineStr">
        <is>
          <t>QV 55 D575h 1993</t>
        </is>
      </c>
      <c r="C336" t="inlineStr">
        <is>
          <t>0                      QV 0055000D  575h        1993</t>
        </is>
      </c>
      <c r="D336" t="inlineStr">
        <is>
          <t>Handbook of commonly prescribed drugs / G. John DiGregorio, Edward J. Barbieri.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Yes</t>
        </is>
      </c>
      <c r="J336" t="inlineStr">
        <is>
          <t>0</t>
        </is>
      </c>
      <c r="K336" t="inlineStr">
        <is>
          <t>DiGregorio, G. John.</t>
        </is>
      </c>
      <c r="L336" t="inlineStr">
        <is>
          <t>West Chester, PA : Medical Surveillance Inc., c1993.</t>
        </is>
      </c>
      <c r="M336" t="inlineStr">
        <is>
          <t>1993</t>
        </is>
      </c>
      <c r="N336" t="inlineStr">
        <is>
          <t>8th ed.</t>
        </is>
      </c>
      <c r="O336" t="inlineStr">
        <is>
          <t>eng</t>
        </is>
      </c>
      <c r="P336" t="inlineStr">
        <is>
          <t>pau</t>
        </is>
      </c>
      <c r="R336" t="inlineStr">
        <is>
          <t xml:space="preserve">QV </t>
        </is>
      </c>
      <c r="S336" t="n">
        <v>4</v>
      </c>
      <c r="T336" t="n">
        <v>4</v>
      </c>
      <c r="U336" t="inlineStr">
        <is>
          <t>1993-09-02</t>
        </is>
      </c>
      <c r="V336" t="inlineStr">
        <is>
          <t>1993-09-02</t>
        </is>
      </c>
      <c r="W336" t="inlineStr">
        <is>
          <t>1993-08-31</t>
        </is>
      </c>
      <c r="X336" t="inlineStr">
        <is>
          <t>1993-08-31</t>
        </is>
      </c>
      <c r="Y336" t="n">
        <v>11</v>
      </c>
      <c r="Z336" t="n">
        <v>10</v>
      </c>
      <c r="AA336" t="n">
        <v>158</v>
      </c>
      <c r="AB336" t="n">
        <v>1</v>
      </c>
      <c r="AC336" t="n">
        <v>1</v>
      </c>
      <c r="AD336" t="n">
        <v>0</v>
      </c>
      <c r="AE336" t="n">
        <v>2</v>
      </c>
      <c r="AF336" t="n">
        <v>0</v>
      </c>
      <c r="AG336" t="n">
        <v>2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HYPERLINK("http://catalog.hathitrust.org/Record/007068070","HathiTrust Record")</f>
        <v/>
      </c>
      <c r="AS336">
        <f>HYPERLINK("https://creighton-primo.hosted.exlibrisgroup.com/primo-explore/search?tab=default_tab&amp;search_scope=EVERYTHING&amp;vid=01CRU&amp;lang=en_US&amp;offset=0&amp;query=any,contains,991001511619702656","Catalog Record")</f>
        <v/>
      </c>
      <c r="AT336">
        <f>HYPERLINK("http://www.worldcat.org/oclc/28233351","WorldCat Record")</f>
        <v/>
      </c>
    </row>
    <row r="337">
      <c r="A337" t="inlineStr">
        <is>
          <t>No</t>
        </is>
      </c>
      <c r="B337" t="inlineStr">
        <is>
          <t>QV 55 D7945 1982</t>
        </is>
      </c>
      <c r="C337" t="inlineStr">
        <is>
          <t>0                      QV 0055000D  7945        1982</t>
        </is>
      </c>
      <c r="D337" t="inlineStr">
        <is>
          <t>Drugs.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Springhouse, Pa. : Intermed Communications, amended reprint, 1983, c1982.</t>
        </is>
      </c>
      <c r="M337" t="inlineStr">
        <is>
          <t>1982</t>
        </is>
      </c>
      <c r="O337" t="inlineStr">
        <is>
          <t>eng</t>
        </is>
      </c>
      <c r="P337" t="inlineStr">
        <is>
          <t>xxu</t>
        </is>
      </c>
      <c r="Q337" t="inlineStr">
        <is>
          <t>The Nurse's reference library</t>
        </is>
      </c>
      <c r="R337" t="inlineStr">
        <is>
          <t xml:space="preserve">QV </t>
        </is>
      </c>
      <c r="S337" t="n">
        <v>8</v>
      </c>
      <c r="T337" t="n">
        <v>8</v>
      </c>
      <c r="U337" t="inlineStr">
        <is>
          <t>1989-11-29</t>
        </is>
      </c>
      <c r="V337" t="inlineStr">
        <is>
          <t>1989-11-29</t>
        </is>
      </c>
      <c r="W337" t="inlineStr">
        <is>
          <t>1987-09-28</t>
        </is>
      </c>
      <c r="X337" t="inlineStr">
        <is>
          <t>1987-09-28</t>
        </is>
      </c>
      <c r="Y337" t="n">
        <v>155</v>
      </c>
      <c r="Z337" t="n">
        <v>150</v>
      </c>
      <c r="AA337" t="n">
        <v>154</v>
      </c>
      <c r="AB337" t="n">
        <v>1</v>
      </c>
      <c r="AC337" t="n">
        <v>1</v>
      </c>
      <c r="AD337" t="n">
        <v>1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1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HYPERLINK("http://catalog.hathitrust.org/Record/000270341","HathiTrust Record")</f>
        <v/>
      </c>
      <c r="AS337">
        <f>HYPERLINK("https://creighton-primo.hosted.exlibrisgroup.com/primo-explore/search?tab=default_tab&amp;search_scope=EVERYTHING&amp;vid=01CRU&amp;lang=en_US&amp;offset=0&amp;query=any,contains,991000747899702656","Catalog Record")</f>
        <v/>
      </c>
      <c r="AT337">
        <f>HYPERLINK("http://www.worldcat.org/oclc/8114411","WorldCat Record")</f>
        <v/>
      </c>
    </row>
    <row r="338">
      <c r="A338" t="inlineStr">
        <is>
          <t>No</t>
        </is>
      </c>
      <c r="B338" t="inlineStr">
        <is>
          <t>QV 55 F184 1982</t>
        </is>
      </c>
      <c r="C338" t="inlineStr">
        <is>
          <t>0                      QV 0055000F  184         1982</t>
        </is>
      </c>
      <c r="D338" t="inlineStr">
        <is>
          <t>Falconer's The drug, the nurse, the patient.</t>
        </is>
      </c>
      <c r="F338" t="inlineStr">
        <is>
          <t>No</t>
        </is>
      </c>
      <c r="G338" t="inlineStr">
        <is>
          <t>2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Philadelphia : Saunders, c1982.</t>
        </is>
      </c>
      <c r="M338" t="inlineStr">
        <is>
          <t>1982</t>
        </is>
      </c>
      <c r="N338" t="inlineStr">
        <is>
          <t>7th ed. / Eleanor Sheridan, H. Robert Patterson, Edward A. Gustafson.</t>
        </is>
      </c>
      <c r="O338" t="inlineStr">
        <is>
          <t>eng</t>
        </is>
      </c>
      <c r="P338" t="inlineStr">
        <is>
          <t>xxu</t>
        </is>
      </c>
      <c r="R338" t="inlineStr">
        <is>
          <t xml:space="preserve">QV </t>
        </is>
      </c>
      <c r="S338" t="n">
        <v>5</v>
      </c>
      <c r="T338" t="n">
        <v>5</v>
      </c>
      <c r="U338" t="inlineStr">
        <is>
          <t>1994-08-24</t>
        </is>
      </c>
      <c r="V338" t="inlineStr">
        <is>
          <t>1994-08-24</t>
        </is>
      </c>
      <c r="W338" t="inlineStr">
        <is>
          <t>1988-03-25</t>
        </is>
      </c>
      <c r="X338" t="inlineStr">
        <is>
          <t>1988-03-25</t>
        </is>
      </c>
      <c r="Y338" t="n">
        <v>135</v>
      </c>
      <c r="Z338" t="n">
        <v>107</v>
      </c>
      <c r="AA338" t="n">
        <v>109</v>
      </c>
      <c r="AB338" t="n">
        <v>1</v>
      </c>
      <c r="AC338" t="n">
        <v>1</v>
      </c>
      <c r="AD338" t="n">
        <v>2</v>
      </c>
      <c r="AE338" t="n">
        <v>2</v>
      </c>
      <c r="AF338" t="n">
        <v>1</v>
      </c>
      <c r="AG338" t="n">
        <v>1</v>
      </c>
      <c r="AH338" t="n">
        <v>0</v>
      </c>
      <c r="AI338" t="n">
        <v>0</v>
      </c>
      <c r="AJ338" t="n">
        <v>2</v>
      </c>
      <c r="AK338" t="n">
        <v>2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HYPERLINK("https://creighton-primo.hosted.exlibrisgroup.com/primo-explore/search?tab=default_tab&amp;search_scope=EVERYTHING&amp;vid=01CRU&amp;lang=en_US&amp;offset=0&amp;query=any,contains,991001176859702656","Catalog Record")</f>
        <v/>
      </c>
      <c r="AT338">
        <f>HYPERLINK("http://www.worldcat.org/oclc/7733325","WorldCat Record")</f>
        <v/>
      </c>
    </row>
    <row r="339">
      <c r="A339" t="inlineStr">
        <is>
          <t>No</t>
        </is>
      </c>
      <c r="B339" t="inlineStr">
        <is>
          <t>QV 55 H2365 1993</t>
        </is>
      </c>
      <c r="C339" t="inlineStr">
        <is>
          <t>0                      QV 0055000H  2365        1993</t>
        </is>
      </c>
      <c r="D339" t="inlineStr">
        <is>
          <t>Handbook of commonly prescribed geriatric drugs / G. John DiGregorio, Edward J. Barbieri, Michael C. Kennedy, Andrew P. Ferko.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West Chester, PA : Medical Surveillance Inc., c1993.</t>
        </is>
      </c>
      <c r="M339" t="inlineStr">
        <is>
          <t>1993</t>
        </is>
      </c>
      <c r="N339" t="inlineStr">
        <is>
          <t>1st ed.</t>
        </is>
      </c>
      <c r="O339" t="inlineStr">
        <is>
          <t>eng</t>
        </is>
      </c>
      <c r="P339" t="inlineStr">
        <is>
          <t>pau</t>
        </is>
      </c>
      <c r="R339" t="inlineStr">
        <is>
          <t xml:space="preserve">QV </t>
        </is>
      </c>
      <c r="S339" t="n">
        <v>2</v>
      </c>
      <c r="T339" t="n">
        <v>2</v>
      </c>
      <c r="U339" t="inlineStr">
        <is>
          <t>1993-09-02</t>
        </is>
      </c>
      <c r="V339" t="inlineStr">
        <is>
          <t>1993-09-02</t>
        </is>
      </c>
      <c r="W339" t="inlineStr">
        <is>
          <t>1993-08-31</t>
        </is>
      </c>
      <c r="X339" t="inlineStr">
        <is>
          <t>1993-08-31</t>
        </is>
      </c>
      <c r="Y339" t="n">
        <v>11</v>
      </c>
      <c r="Z339" t="n">
        <v>10</v>
      </c>
      <c r="AA339" t="n">
        <v>10</v>
      </c>
      <c r="AB339" t="n">
        <v>1</v>
      </c>
      <c r="AC339" t="n">
        <v>1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HYPERLINK("https://creighton-primo.hosted.exlibrisgroup.com/primo-explore/search?tab=default_tab&amp;search_scope=EVERYTHING&amp;vid=01CRU&amp;lang=en_US&amp;offset=0&amp;query=any,contains,991001511649702656","Catalog Record")</f>
        <v/>
      </c>
      <c r="AT339">
        <f>HYPERLINK("http://www.worldcat.org/oclc/28581559","WorldCat Record")</f>
        <v/>
      </c>
    </row>
    <row r="340">
      <c r="A340" t="inlineStr">
        <is>
          <t>No</t>
        </is>
      </c>
      <c r="B340" t="inlineStr">
        <is>
          <t>QV 55 H2464 1983</t>
        </is>
      </c>
      <c r="C340" t="inlineStr">
        <is>
          <t>0                      QV 0055000H  2464        1983</t>
        </is>
      </c>
      <c r="D340" t="inlineStr">
        <is>
          <t>Handbook of clinical drug data / editors, James E. Knoben, Philip O. Anderson ; assistant editor, Larry J. Davis ; contributing editors, William D. Ball, William G. Troutman.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Yes</t>
        </is>
      </c>
      <c r="J340" t="inlineStr">
        <is>
          <t>0</t>
        </is>
      </c>
      <c r="L340" t="inlineStr">
        <is>
          <t>Hamilton, Ill. : Drug Intelligence Publications, c1983.</t>
        </is>
      </c>
      <c r="M340" t="inlineStr">
        <is>
          <t>1983</t>
        </is>
      </c>
      <c r="N340" t="inlineStr">
        <is>
          <t>5th ed.</t>
        </is>
      </c>
      <c r="O340" t="inlineStr">
        <is>
          <t>eng</t>
        </is>
      </c>
      <c r="P340" t="inlineStr">
        <is>
          <t>ilu</t>
        </is>
      </c>
      <c r="R340" t="inlineStr">
        <is>
          <t xml:space="preserve">QV </t>
        </is>
      </c>
      <c r="S340" t="n">
        <v>11</v>
      </c>
      <c r="T340" t="n">
        <v>11</v>
      </c>
      <c r="U340" t="inlineStr">
        <is>
          <t>1999-08-30</t>
        </is>
      </c>
      <c r="V340" t="inlineStr">
        <is>
          <t>1999-08-30</t>
        </is>
      </c>
      <c r="W340" t="inlineStr">
        <is>
          <t>1987-09-28</t>
        </is>
      </c>
      <c r="X340" t="inlineStr">
        <is>
          <t>1987-09-28</t>
        </is>
      </c>
      <c r="Y340" t="n">
        <v>122</v>
      </c>
      <c r="Z340" t="n">
        <v>94</v>
      </c>
      <c r="AA340" t="n">
        <v>314</v>
      </c>
      <c r="AB340" t="n">
        <v>1</v>
      </c>
      <c r="AC340" t="n">
        <v>2</v>
      </c>
      <c r="AD340" t="n">
        <v>1</v>
      </c>
      <c r="AE340" t="n">
        <v>6</v>
      </c>
      <c r="AF340" t="n">
        <v>1</v>
      </c>
      <c r="AG340" t="n">
        <v>4</v>
      </c>
      <c r="AH340" t="n">
        <v>0</v>
      </c>
      <c r="AI340" t="n">
        <v>1</v>
      </c>
      <c r="AJ340" t="n">
        <v>0</v>
      </c>
      <c r="AK340" t="n">
        <v>2</v>
      </c>
      <c r="AL340" t="n">
        <v>0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HYPERLINK("http://catalog.hathitrust.org/Record/000315018","HathiTrust Record")</f>
        <v/>
      </c>
      <c r="AS340">
        <f>HYPERLINK("https://creighton-primo.hosted.exlibrisgroup.com/primo-explore/search?tab=default_tab&amp;search_scope=EVERYTHING&amp;vid=01CRU&amp;lang=en_US&amp;offset=0&amp;query=any,contains,991000747939702656","Catalog Record")</f>
        <v/>
      </c>
      <c r="AT340">
        <f>HYPERLINK("http://www.worldcat.org/oclc/9043234","WorldCat Record")</f>
        <v/>
      </c>
    </row>
    <row r="341">
      <c r="A341" t="inlineStr">
        <is>
          <t>No</t>
        </is>
      </c>
      <c r="B341" t="inlineStr">
        <is>
          <t>QV 55 H2466 2003</t>
        </is>
      </c>
      <c r="C341" t="inlineStr">
        <is>
          <t>0                      QV 0055000H  2466        2003</t>
        </is>
      </c>
      <c r="D341" t="inlineStr">
        <is>
          <t>Handbook of pharmaceutical biotechnology / Jay P. Rho, Stan G. Louie, editors.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New York : Pharmaceutical Products Press, c2003.</t>
        </is>
      </c>
      <c r="M341" t="inlineStr">
        <is>
          <t>2003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QV </t>
        </is>
      </c>
      <c r="S341" t="n">
        <v>0</v>
      </c>
      <c r="T341" t="n">
        <v>0</v>
      </c>
      <c r="U341" t="inlineStr">
        <is>
          <t>2009-05-22</t>
        </is>
      </c>
      <c r="V341" t="inlineStr">
        <is>
          <t>2009-05-22</t>
        </is>
      </c>
      <c r="W341" t="inlineStr">
        <is>
          <t>2009-05-21</t>
        </is>
      </c>
      <c r="X341" t="inlineStr">
        <is>
          <t>2009-05-21</t>
        </is>
      </c>
      <c r="Y341" t="n">
        <v>161</v>
      </c>
      <c r="Z341" t="n">
        <v>109</v>
      </c>
      <c r="AA341" t="n">
        <v>111</v>
      </c>
      <c r="AB341" t="n">
        <v>1</v>
      </c>
      <c r="AC341" t="n">
        <v>1</v>
      </c>
      <c r="AD341" t="n">
        <v>4</v>
      </c>
      <c r="AE341" t="n">
        <v>4</v>
      </c>
      <c r="AF341" t="n">
        <v>2</v>
      </c>
      <c r="AG341" t="n">
        <v>2</v>
      </c>
      <c r="AH341" t="n">
        <v>1</v>
      </c>
      <c r="AI341" t="n">
        <v>1</v>
      </c>
      <c r="AJ341" t="n">
        <v>1</v>
      </c>
      <c r="AK341" t="n">
        <v>1</v>
      </c>
      <c r="AL341" t="n">
        <v>0</v>
      </c>
      <c r="AM341" t="n">
        <v>0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HYPERLINK("http://catalog.hathitrust.org/Record/004318873","HathiTrust Record")</f>
        <v/>
      </c>
      <c r="AS341">
        <f>HYPERLINK("https://creighton-primo.hosted.exlibrisgroup.com/primo-explore/search?tab=default_tab&amp;search_scope=EVERYTHING&amp;vid=01CRU&amp;lang=en_US&amp;offset=0&amp;query=any,contains,991001464179702656","Catalog Record")</f>
        <v/>
      </c>
      <c r="AT341">
        <f>HYPERLINK("http://www.worldcat.org/oclc/48383568","WorldCat Record")</f>
        <v/>
      </c>
    </row>
    <row r="342">
      <c r="A342" t="inlineStr">
        <is>
          <t>No</t>
        </is>
      </c>
      <c r="B342" t="inlineStr">
        <is>
          <t>QV 55 I606 1987p</t>
        </is>
      </c>
      <c r="C342" t="inlineStr">
        <is>
          <t>0                      QV 0055000I  606         1987p</t>
        </is>
      </c>
      <c r="D342" t="inlineStr">
        <is>
          <t>Polymers in medicine III : proceedings of the Third International Conference on Polymers in Medicine, Porto Cervo, Italy, June 9-13, 1987 / edited by Claudio Migliaresi ... [et al.].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International Conference on Polymers in Medicine (3rd : 1987 : Porto Cervo, Italy)</t>
        </is>
      </c>
      <c r="L342" t="inlineStr">
        <is>
          <t>New York, NY : Elsevier Science Publishers, c1988.</t>
        </is>
      </c>
      <c r="M342" t="inlineStr">
        <is>
          <t>1988</t>
        </is>
      </c>
      <c r="O342" t="inlineStr">
        <is>
          <t>eng</t>
        </is>
      </c>
      <c r="P342" t="inlineStr">
        <is>
          <t>xxu</t>
        </is>
      </c>
      <c r="Q342" t="inlineStr">
        <is>
          <t>Progress in biomedical engineering ; 5</t>
        </is>
      </c>
      <c r="R342" t="inlineStr">
        <is>
          <t xml:space="preserve">QV </t>
        </is>
      </c>
      <c r="S342" t="n">
        <v>4</v>
      </c>
      <c r="T342" t="n">
        <v>4</v>
      </c>
      <c r="U342" t="inlineStr">
        <is>
          <t>1989-08-11</t>
        </is>
      </c>
      <c r="V342" t="inlineStr">
        <is>
          <t>1989-08-11</t>
        </is>
      </c>
      <c r="W342" t="inlineStr">
        <is>
          <t>1988-12-23</t>
        </is>
      </c>
      <c r="X342" t="inlineStr">
        <is>
          <t>1988-12-23</t>
        </is>
      </c>
      <c r="Y342" t="n">
        <v>87</v>
      </c>
      <c r="Z342" t="n">
        <v>65</v>
      </c>
      <c r="AA342" t="n">
        <v>67</v>
      </c>
      <c r="AB342" t="n">
        <v>2</v>
      </c>
      <c r="AC342" t="n">
        <v>2</v>
      </c>
      <c r="AD342" t="n">
        <v>1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1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HYPERLINK("http://catalog.hathitrust.org/Record/002237734","HathiTrust Record")</f>
        <v/>
      </c>
      <c r="AS342">
        <f>HYPERLINK("https://creighton-primo.hosted.exlibrisgroup.com/primo-explore/search?tab=default_tab&amp;search_scope=EVERYTHING&amp;vid=01CRU&amp;lang=en_US&amp;offset=0&amp;query=any,contains,991001111769702656","Catalog Record")</f>
        <v/>
      </c>
      <c r="AT342">
        <f>HYPERLINK("http://www.worldcat.org/oclc/18258255","WorldCat Record")</f>
        <v/>
      </c>
    </row>
    <row r="343">
      <c r="A343" t="inlineStr">
        <is>
          <t>No</t>
        </is>
      </c>
      <c r="B343" t="inlineStr">
        <is>
          <t>QV 55 K72h 1978</t>
        </is>
      </c>
      <c r="C343" t="inlineStr">
        <is>
          <t>0                      QV 0055000K  72h         1978</t>
        </is>
      </c>
      <c r="D343" t="inlineStr">
        <is>
          <t>Handbook of clinical drug data / by James E. Knoben, Philip O. Anderson, Arthur S. Watanabe.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Yes</t>
        </is>
      </c>
      <c r="J343" t="inlineStr">
        <is>
          <t>0</t>
        </is>
      </c>
      <c r="K343" t="inlineStr">
        <is>
          <t>Knoben, James E.</t>
        </is>
      </c>
      <c r="L343" t="inlineStr">
        <is>
          <t>Hamilton, Ill. : Drug Intelligence Publication, 1978.</t>
        </is>
      </c>
      <c r="M343" t="inlineStr">
        <is>
          <t>1978</t>
        </is>
      </c>
      <c r="N343" t="inlineStr">
        <is>
          <t>4th ed.</t>
        </is>
      </c>
      <c r="O343" t="inlineStr">
        <is>
          <t>eng</t>
        </is>
      </c>
      <c r="P343" t="inlineStr">
        <is>
          <t>ilu</t>
        </is>
      </c>
      <c r="R343" t="inlineStr">
        <is>
          <t xml:space="preserve">QV </t>
        </is>
      </c>
      <c r="S343" t="n">
        <v>3</v>
      </c>
      <c r="T343" t="n">
        <v>3</v>
      </c>
      <c r="U343" t="inlineStr">
        <is>
          <t>1988-05-09</t>
        </is>
      </c>
      <c r="V343" t="inlineStr">
        <is>
          <t>1988-05-09</t>
        </is>
      </c>
      <c r="W343" t="inlineStr">
        <is>
          <t>1988-02-04</t>
        </is>
      </c>
      <c r="X343" t="inlineStr">
        <is>
          <t>1988-02-04</t>
        </is>
      </c>
      <c r="Y343" t="n">
        <v>63</v>
      </c>
      <c r="Z343" t="n">
        <v>47</v>
      </c>
      <c r="AA343" t="n">
        <v>314</v>
      </c>
      <c r="AB343" t="n">
        <v>1</v>
      </c>
      <c r="AC343" t="n">
        <v>2</v>
      </c>
      <c r="AD343" t="n">
        <v>0</v>
      </c>
      <c r="AE343" t="n">
        <v>6</v>
      </c>
      <c r="AF343" t="n">
        <v>0</v>
      </c>
      <c r="AG343" t="n">
        <v>4</v>
      </c>
      <c r="AH343" t="n">
        <v>0</v>
      </c>
      <c r="AI343" t="n">
        <v>1</v>
      </c>
      <c r="AJ343" t="n">
        <v>0</v>
      </c>
      <c r="AK343" t="n">
        <v>2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HYPERLINK("https://creighton-primo.hosted.exlibrisgroup.com/primo-explore/search?tab=default_tab&amp;search_scope=EVERYTHING&amp;vid=01CRU&amp;lang=en_US&amp;offset=0&amp;query=any,contains,991000953649702656","Catalog Record")</f>
        <v/>
      </c>
      <c r="AT343">
        <f>HYPERLINK("http://www.worldcat.org/oclc/3712062","WorldCat Record")</f>
        <v/>
      </c>
    </row>
    <row r="344">
      <c r="A344" t="inlineStr">
        <is>
          <t>No</t>
        </is>
      </c>
      <c r="B344" t="inlineStr">
        <is>
          <t>QV 55 M689 1979</t>
        </is>
      </c>
      <c r="C344" t="inlineStr">
        <is>
          <t>0                      QV 0055000M  689         1979</t>
        </is>
      </c>
      <c r="D344" t="inlineStr">
        <is>
          <t>Modern pharmaceutics / [edited by] Gilbert S. Banker, Christopher T. Rhodes.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Yes</t>
        </is>
      </c>
      <c r="J344" t="inlineStr">
        <is>
          <t>0</t>
        </is>
      </c>
      <c r="L344" t="inlineStr">
        <is>
          <t>New York : M. Dekker, c1979.</t>
        </is>
      </c>
      <c r="M344" t="inlineStr">
        <is>
          <t>1979</t>
        </is>
      </c>
      <c r="O344" t="inlineStr">
        <is>
          <t>eng</t>
        </is>
      </c>
      <c r="P344" t="inlineStr">
        <is>
          <t>nyu</t>
        </is>
      </c>
      <c r="Q344" t="inlineStr">
        <is>
          <t>Drugs and the pharmaceutical sciences ; v. 7</t>
        </is>
      </c>
      <c r="R344" t="inlineStr">
        <is>
          <t xml:space="preserve">QV </t>
        </is>
      </c>
      <c r="S344" t="n">
        <v>9</v>
      </c>
      <c r="T344" t="n">
        <v>9</v>
      </c>
      <c r="U344" t="inlineStr">
        <is>
          <t>2005-05-27</t>
        </is>
      </c>
      <c r="V344" t="inlineStr">
        <is>
          <t>2005-05-27</t>
        </is>
      </c>
      <c r="W344" t="inlineStr">
        <is>
          <t>1988-02-04</t>
        </is>
      </c>
      <c r="X344" t="inlineStr">
        <is>
          <t>1988-02-04</t>
        </is>
      </c>
      <c r="Y344" t="n">
        <v>142</v>
      </c>
      <c r="Z344" t="n">
        <v>91</v>
      </c>
      <c r="AA344" t="n">
        <v>537</v>
      </c>
      <c r="AB344" t="n">
        <v>1</v>
      </c>
      <c r="AC344" t="n">
        <v>2</v>
      </c>
      <c r="AD344" t="n">
        <v>4</v>
      </c>
      <c r="AE344" t="n">
        <v>10</v>
      </c>
      <c r="AF344" t="n">
        <v>3</v>
      </c>
      <c r="AG344" t="n">
        <v>8</v>
      </c>
      <c r="AH344" t="n">
        <v>1</v>
      </c>
      <c r="AI344" t="n">
        <v>2</v>
      </c>
      <c r="AJ344" t="n">
        <v>1</v>
      </c>
      <c r="AK344" t="n">
        <v>1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HYPERLINK("http://catalog.hathitrust.org/Record/000683374","HathiTrust Record")</f>
        <v/>
      </c>
      <c r="AS344">
        <f>HYPERLINK("https://creighton-primo.hosted.exlibrisgroup.com/primo-explore/search?tab=default_tab&amp;search_scope=EVERYTHING&amp;vid=01CRU&amp;lang=en_US&amp;offset=0&amp;query=any,contains,991000953709702656","Catalog Record")</f>
        <v/>
      </c>
      <c r="AT344">
        <f>HYPERLINK("http://www.worldcat.org/oclc/5286412","WorldCat Record")</f>
        <v/>
      </c>
    </row>
    <row r="345">
      <c r="A345" t="inlineStr">
        <is>
          <t>No</t>
        </is>
      </c>
      <c r="B345" t="inlineStr">
        <is>
          <t>QV 55 S958s 1963</t>
        </is>
      </c>
      <c r="C345" t="inlineStr">
        <is>
          <t>0                      QV 0055000S  958s        1963</t>
        </is>
      </c>
      <c r="D345" t="inlineStr">
        <is>
          <t>Spectrophotometric analysis of drugs : including atlas of spectra / by Irving Sunshine and S. R. Gerber.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Sunshine, Irving.</t>
        </is>
      </c>
      <c r="L345" t="inlineStr">
        <is>
          <t>Springfield, Ill. : Thomas, 1963.</t>
        </is>
      </c>
      <c r="M345" t="inlineStr">
        <is>
          <t>1963</t>
        </is>
      </c>
      <c r="O345" t="inlineStr">
        <is>
          <t>eng</t>
        </is>
      </c>
      <c r="P345" t="inlineStr">
        <is>
          <t xml:space="preserve">xx </t>
        </is>
      </c>
      <c r="R345" t="inlineStr">
        <is>
          <t xml:space="preserve">QV </t>
        </is>
      </c>
      <c r="S345" t="n">
        <v>0</v>
      </c>
      <c r="T345" t="n">
        <v>0</v>
      </c>
      <c r="U345" t="inlineStr">
        <is>
          <t>2007-02-04</t>
        </is>
      </c>
      <c r="V345" t="inlineStr">
        <is>
          <t>2007-02-04</t>
        </is>
      </c>
      <c r="W345" t="inlineStr">
        <is>
          <t>1988-03-03</t>
        </is>
      </c>
      <c r="X345" t="inlineStr">
        <is>
          <t>1988-03-03</t>
        </is>
      </c>
      <c r="Y345" t="n">
        <v>144</v>
      </c>
      <c r="Z345" t="n">
        <v>108</v>
      </c>
      <c r="AA345" t="n">
        <v>111</v>
      </c>
      <c r="AB345" t="n">
        <v>2</v>
      </c>
      <c r="AC345" t="n">
        <v>2</v>
      </c>
      <c r="AD345" t="n">
        <v>2</v>
      </c>
      <c r="AE345" t="n">
        <v>2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1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HYPERLINK("http://catalog.hathitrust.org/Record/001573908","HathiTrust Record")</f>
        <v/>
      </c>
      <c r="AS345">
        <f>HYPERLINK("https://creighton-primo.hosted.exlibrisgroup.com/primo-explore/search?tab=default_tab&amp;search_scope=EVERYTHING&amp;vid=01CRU&amp;lang=en_US&amp;offset=0&amp;query=any,contains,991000952549702656","Catalog Record")</f>
        <v/>
      </c>
      <c r="AT345">
        <f>HYPERLINK("http://www.worldcat.org/oclc/1399040","WorldCat Record")</f>
        <v/>
      </c>
    </row>
    <row r="346">
      <c r="A346" t="inlineStr">
        <is>
          <t>No</t>
        </is>
      </c>
      <c r="B346" t="inlineStr">
        <is>
          <t>QV 60 P5361 1992</t>
        </is>
      </c>
      <c r="C346" t="inlineStr">
        <is>
          <t>0                      QV 0060000P  5361        1992</t>
        </is>
      </c>
      <c r="D346" t="inlineStr">
        <is>
          <t>Pharmacology of the skin / Hasan Mukhtar, editor.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L346" t="inlineStr">
        <is>
          <t>Boca Raton : CRC Press, c1992.</t>
        </is>
      </c>
      <c r="M346" t="inlineStr">
        <is>
          <t>1992</t>
        </is>
      </c>
      <c r="O346" t="inlineStr">
        <is>
          <t>eng</t>
        </is>
      </c>
      <c r="P346" t="inlineStr">
        <is>
          <t>flu</t>
        </is>
      </c>
      <c r="Q346" t="inlineStr">
        <is>
          <t>Pharmacology &amp; toxicology</t>
        </is>
      </c>
      <c r="R346" t="inlineStr">
        <is>
          <t xml:space="preserve">QV </t>
        </is>
      </c>
      <c r="S346" t="n">
        <v>8</v>
      </c>
      <c r="T346" t="n">
        <v>8</v>
      </c>
      <c r="U346" t="inlineStr">
        <is>
          <t>1993-03-25</t>
        </is>
      </c>
      <c r="V346" t="inlineStr">
        <is>
          <t>1993-03-25</t>
        </is>
      </c>
      <c r="W346" t="inlineStr">
        <is>
          <t>1992-05-07</t>
        </is>
      </c>
      <c r="X346" t="inlineStr">
        <is>
          <t>1992-05-07</t>
        </is>
      </c>
      <c r="Y346" t="n">
        <v>93</v>
      </c>
      <c r="Z346" t="n">
        <v>71</v>
      </c>
      <c r="AA346" t="n">
        <v>74</v>
      </c>
      <c r="AB346" t="n">
        <v>1</v>
      </c>
      <c r="AC346" t="n">
        <v>1</v>
      </c>
      <c r="AD346" t="n">
        <v>2</v>
      </c>
      <c r="AE346" t="n">
        <v>2</v>
      </c>
      <c r="AF346" t="n">
        <v>1</v>
      </c>
      <c r="AG346" t="n">
        <v>1</v>
      </c>
      <c r="AH346" t="n">
        <v>1</v>
      </c>
      <c r="AI346" t="n">
        <v>1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HYPERLINK("http://catalog.hathitrust.org/Record/002527129","HathiTrust Record")</f>
        <v/>
      </c>
      <c r="AS346">
        <f>HYPERLINK("https://creighton-primo.hosted.exlibrisgroup.com/primo-explore/search?tab=default_tab&amp;search_scope=EVERYTHING&amp;vid=01CRU&amp;lang=en_US&amp;offset=0&amp;query=any,contains,991001304419702656","Catalog Record")</f>
        <v/>
      </c>
      <c r="AT346">
        <f>HYPERLINK("http://www.worldcat.org/oclc/24318421","WorldCat Record")</f>
        <v/>
      </c>
    </row>
    <row r="347">
      <c r="A347" t="inlineStr">
        <is>
          <t>No</t>
        </is>
      </c>
      <c r="B347" t="inlineStr">
        <is>
          <t>QV 69 S989 1980a</t>
        </is>
      </c>
      <c r="C347" t="inlineStr">
        <is>
          <t>0                      QV 0069000S  989         1980a</t>
        </is>
      </c>
      <c r="D347" t="inlineStr">
        <is>
          <t>Antacids in the eighties : Symposium on Antacids, Hamburg, June 1980 : in the course of XI. International Congress of Gastroenterology, IV. European Congress of Digestive Endoscopy / edited by F. Halter.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Symposium on Antacids (1980 : Hamburg, Germany)</t>
        </is>
      </c>
      <c r="L347" t="inlineStr">
        <is>
          <t>München ; Baltimore : Urban &amp; Schwarzenberg, 1982, c1981.</t>
        </is>
      </c>
      <c r="M347" t="inlineStr">
        <is>
          <t>1982</t>
        </is>
      </c>
      <c r="O347" t="inlineStr">
        <is>
          <t>eng</t>
        </is>
      </c>
      <c r="P347" t="inlineStr">
        <is>
          <t xml:space="preserve">gw </t>
        </is>
      </c>
      <c r="R347" t="inlineStr">
        <is>
          <t xml:space="preserve">QV </t>
        </is>
      </c>
      <c r="S347" t="n">
        <v>2</v>
      </c>
      <c r="T347" t="n">
        <v>2</v>
      </c>
      <c r="U347" t="inlineStr">
        <is>
          <t>1995-03-27</t>
        </is>
      </c>
      <c r="V347" t="inlineStr">
        <is>
          <t>1995-03-27</t>
        </is>
      </c>
      <c r="W347" t="inlineStr">
        <is>
          <t>1988-02-08</t>
        </is>
      </c>
      <c r="X347" t="inlineStr">
        <is>
          <t>1988-02-08</t>
        </is>
      </c>
      <c r="Y347" t="n">
        <v>69</v>
      </c>
      <c r="Z347" t="n">
        <v>53</v>
      </c>
      <c r="AA347" t="n">
        <v>57</v>
      </c>
      <c r="AB347" t="n">
        <v>1</v>
      </c>
      <c r="AC347" t="n">
        <v>1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HYPERLINK("http://catalog.hathitrust.org/Record/000279285","HathiTrust Record")</f>
        <v/>
      </c>
      <c r="AS347">
        <f>HYPERLINK("https://creighton-primo.hosted.exlibrisgroup.com/primo-explore/search?tab=default_tab&amp;search_scope=EVERYTHING&amp;vid=01CRU&amp;lang=en_US&amp;offset=0&amp;query=any,contains,991000957579702656","Catalog Record")</f>
        <v/>
      </c>
      <c r="AT347">
        <f>HYPERLINK("http://www.worldcat.org/oclc/8195091","WorldCat Record")</f>
        <v/>
      </c>
    </row>
    <row r="348">
      <c r="A348" t="inlineStr">
        <is>
          <t>No</t>
        </is>
      </c>
      <c r="B348" t="inlineStr">
        <is>
          <t>QV 76.5 B881c 1998</t>
        </is>
      </c>
      <c r="C348" t="inlineStr">
        <is>
          <t>0                      QV 0076500B  881c        1998</t>
        </is>
      </c>
      <c r="D348" t="inlineStr">
        <is>
          <t>Psychiatric side effects of prescription and over-the-counter medications : recognition and management / by Thomas Markham Brown, Alan Stoudemire.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Brown, Thomas Markham.</t>
        </is>
      </c>
      <c r="L348" t="inlineStr">
        <is>
          <t>Washington, DC : American Psychiatric Press, 1998.</t>
        </is>
      </c>
      <c r="M348" t="inlineStr">
        <is>
          <t>1998</t>
        </is>
      </c>
      <c r="N348" t="inlineStr">
        <is>
          <t>1st ed.</t>
        </is>
      </c>
      <c r="O348" t="inlineStr">
        <is>
          <t>eng</t>
        </is>
      </c>
      <c r="P348" t="inlineStr">
        <is>
          <t>dcu</t>
        </is>
      </c>
      <c r="R348" t="inlineStr">
        <is>
          <t xml:space="preserve">QV </t>
        </is>
      </c>
      <c r="S348" t="n">
        <v>2</v>
      </c>
      <c r="T348" t="n">
        <v>2</v>
      </c>
      <c r="U348" t="inlineStr">
        <is>
          <t>2000-06-28</t>
        </is>
      </c>
      <c r="V348" t="inlineStr">
        <is>
          <t>2000-06-28</t>
        </is>
      </c>
      <c r="W348" t="inlineStr">
        <is>
          <t>2000-02-08</t>
        </is>
      </c>
      <c r="X348" t="inlineStr">
        <is>
          <t>2000-02-08</t>
        </is>
      </c>
      <c r="Y348" t="n">
        <v>167</v>
      </c>
      <c r="Z348" t="n">
        <v>143</v>
      </c>
      <c r="AA348" t="n">
        <v>145</v>
      </c>
      <c r="AB348" t="n">
        <v>2</v>
      </c>
      <c r="AC348" t="n">
        <v>2</v>
      </c>
      <c r="AD348" t="n">
        <v>3</v>
      </c>
      <c r="AE348" t="n">
        <v>3</v>
      </c>
      <c r="AF348" t="n">
        <v>0</v>
      </c>
      <c r="AG348" t="n">
        <v>0</v>
      </c>
      <c r="AH348" t="n">
        <v>0</v>
      </c>
      <c r="AI348" t="n">
        <v>0</v>
      </c>
      <c r="AJ348" t="n">
        <v>2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HYPERLINK("http://catalog.hathitrust.org/Record/003995897","HathiTrust Record")</f>
        <v/>
      </c>
      <c r="AS348">
        <f>HYPERLINK("https://creighton-primo.hosted.exlibrisgroup.com/primo-explore/search?tab=default_tab&amp;search_scope=EVERYTHING&amp;vid=01CRU&amp;lang=en_US&amp;offset=0&amp;query=any,contains,991001572129702656","Catalog Record")</f>
        <v/>
      </c>
      <c r="AT348">
        <f>HYPERLINK("http://www.worldcat.org/oclc/37801443","WorldCat Record")</f>
        <v/>
      </c>
    </row>
    <row r="349">
      <c r="A349" t="inlineStr">
        <is>
          <t>No</t>
        </is>
      </c>
      <c r="B349" t="inlineStr">
        <is>
          <t>QV 76.5 D794 1986</t>
        </is>
      </c>
      <c r="C349" t="inlineStr">
        <is>
          <t>0                      QV 0076500D  794         1986</t>
        </is>
      </c>
      <c r="D349" t="inlineStr">
        <is>
          <t>Drug dependence and emotional behavior : neurophysiological and neurochemical approaches / edited by A.V. Valdman and Yu. V. Burov ; translated by L.R. Sandler ; translation edited by M. Sandler.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Consultants Bureau, c1986.</t>
        </is>
      </c>
      <c r="M349" t="inlineStr">
        <is>
          <t>1986</t>
        </is>
      </c>
      <c r="O349" t="inlineStr">
        <is>
          <t>eng</t>
        </is>
      </c>
      <c r="P349" t="inlineStr">
        <is>
          <t>xxu</t>
        </is>
      </c>
      <c r="R349" t="inlineStr">
        <is>
          <t xml:space="preserve">QV </t>
        </is>
      </c>
      <c r="S349" t="n">
        <v>2</v>
      </c>
      <c r="T349" t="n">
        <v>2</v>
      </c>
      <c r="U349" t="inlineStr">
        <is>
          <t>2006-04-17</t>
        </is>
      </c>
      <c r="V349" t="inlineStr">
        <is>
          <t>2006-04-17</t>
        </is>
      </c>
      <c r="W349" t="inlineStr">
        <is>
          <t>1988-02-08</t>
        </is>
      </c>
      <c r="X349" t="inlineStr">
        <is>
          <t>1988-02-08</t>
        </is>
      </c>
      <c r="Y349" t="n">
        <v>147</v>
      </c>
      <c r="Z349" t="n">
        <v>118</v>
      </c>
      <c r="AA349" t="n">
        <v>143</v>
      </c>
      <c r="AB349" t="n">
        <v>2</v>
      </c>
      <c r="AC349" t="n">
        <v>2</v>
      </c>
      <c r="AD349" t="n">
        <v>4</v>
      </c>
      <c r="AE349" t="n">
        <v>5</v>
      </c>
      <c r="AF349" t="n">
        <v>1</v>
      </c>
      <c r="AG349" t="n">
        <v>2</v>
      </c>
      <c r="AH349" t="n">
        <v>0</v>
      </c>
      <c r="AI349" t="n">
        <v>0</v>
      </c>
      <c r="AJ349" t="n">
        <v>3</v>
      </c>
      <c r="AK349" t="n">
        <v>4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HYPERLINK("http://catalog.hathitrust.org/Record/000666758","HathiTrust Record")</f>
        <v/>
      </c>
      <c r="AS349">
        <f>HYPERLINK("https://creighton-primo.hosted.exlibrisgroup.com/primo-explore/search?tab=default_tab&amp;search_scope=EVERYTHING&amp;vid=01CRU&amp;lang=en_US&amp;offset=0&amp;query=any,contains,991000957629702656","Catalog Record")</f>
        <v/>
      </c>
      <c r="AT349">
        <f>HYPERLINK("http://www.worldcat.org/oclc/13395345","WorldCat Record")</f>
        <v/>
      </c>
    </row>
    <row r="350">
      <c r="A350" t="inlineStr">
        <is>
          <t>No</t>
        </is>
      </c>
      <c r="B350" t="inlineStr">
        <is>
          <t>QV76.5 M612p 2005</t>
        </is>
      </c>
      <c r="C350" t="inlineStr">
        <is>
          <t>0                      QV 0076500M  612p        2005</t>
        </is>
      </c>
      <c r="D350" t="inlineStr">
        <is>
          <t>Psychopharmacology : drugs, the brain, and behavior / Jerrold S. Meyer, Linda F. Quenzer.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Meyer, Jerrold S., 1947-</t>
        </is>
      </c>
      <c r="L350" t="inlineStr">
        <is>
          <t>Sunderland, Mass. : Sinauer Associates,Publishers c2005.</t>
        </is>
      </c>
      <c r="M350" t="inlineStr">
        <is>
          <t>2005</t>
        </is>
      </c>
      <c r="O350" t="inlineStr">
        <is>
          <t>eng</t>
        </is>
      </c>
      <c r="P350" t="inlineStr">
        <is>
          <t>mau</t>
        </is>
      </c>
      <c r="R350" t="inlineStr">
        <is>
          <t xml:space="preserve">QV </t>
        </is>
      </c>
      <c r="S350" t="n">
        <v>7</v>
      </c>
      <c r="T350" t="n">
        <v>7</v>
      </c>
      <c r="U350" t="inlineStr">
        <is>
          <t>2008-04-02</t>
        </is>
      </c>
      <c r="V350" t="inlineStr">
        <is>
          <t>2008-04-02</t>
        </is>
      </c>
      <c r="W350" t="inlineStr">
        <is>
          <t>2005-11-04</t>
        </is>
      </c>
      <c r="X350" t="inlineStr">
        <is>
          <t>2005-11-04</t>
        </is>
      </c>
      <c r="Y350" t="n">
        <v>305</v>
      </c>
      <c r="Z350" t="n">
        <v>193</v>
      </c>
      <c r="AA350" t="n">
        <v>291</v>
      </c>
      <c r="AB350" t="n">
        <v>1</v>
      </c>
      <c r="AC350" t="n">
        <v>1</v>
      </c>
      <c r="AD350" t="n">
        <v>4</v>
      </c>
      <c r="AE350" t="n">
        <v>7</v>
      </c>
      <c r="AF350" t="n">
        <v>1</v>
      </c>
      <c r="AG350" t="n">
        <v>3</v>
      </c>
      <c r="AH350" t="n">
        <v>3</v>
      </c>
      <c r="AI350" t="n">
        <v>4</v>
      </c>
      <c r="AJ350" t="n">
        <v>1</v>
      </c>
      <c r="AK350" t="n">
        <v>2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HYPERLINK("https://creighton-primo.hosted.exlibrisgroup.com/primo-explore/search?tab=default_tab&amp;search_scope=EVERYTHING&amp;vid=01CRU&amp;lang=en_US&amp;offset=0&amp;query=any,contains,991000447319702656","Catalog Record")</f>
        <v/>
      </c>
      <c r="AT350">
        <f>HYPERLINK("http://www.worldcat.org/oclc/57254391","WorldCat Record")</f>
        <v/>
      </c>
    </row>
    <row r="351">
      <c r="A351" t="inlineStr">
        <is>
          <t>No</t>
        </is>
      </c>
      <c r="B351" t="inlineStr">
        <is>
          <t>QV 76.5 R988m 1979</t>
        </is>
      </c>
      <c r="C351" t="inlineStr">
        <is>
          <t>0                      QV 0076500R  988m        1979</t>
        </is>
      </c>
      <c r="D351" t="inlineStr">
        <is>
          <t>Mechanisms of drug action on the nervous system / Ronald W. Ryall.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Ryall, Ronald W.</t>
        </is>
      </c>
      <c r="L351" t="inlineStr">
        <is>
          <t>Cambridge ; New York : Cambridge University Press, 1979.</t>
        </is>
      </c>
      <c r="M351" t="inlineStr">
        <is>
          <t>1979</t>
        </is>
      </c>
      <c r="O351" t="inlineStr">
        <is>
          <t>eng</t>
        </is>
      </c>
      <c r="P351" t="inlineStr">
        <is>
          <t>mau</t>
        </is>
      </c>
      <c r="Q351" t="inlineStr">
        <is>
          <t>Cambridge texts in physiological sciences ; 1</t>
        </is>
      </c>
      <c r="R351" t="inlineStr">
        <is>
          <t xml:space="preserve">QV </t>
        </is>
      </c>
      <c r="S351" t="n">
        <v>2</v>
      </c>
      <c r="T351" t="n">
        <v>2</v>
      </c>
      <c r="U351" t="inlineStr">
        <is>
          <t>1995-04-10</t>
        </is>
      </c>
      <c r="V351" t="inlineStr">
        <is>
          <t>1995-04-10</t>
        </is>
      </c>
      <c r="W351" t="inlineStr">
        <is>
          <t>1988-02-08</t>
        </is>
      </c>
      <c r="X351" t="inlineStr">
        <is>
          <t>1988-02-08</t>
        </is>
      </c>
      <c r="Y351" t="n">
        <v>270</v>
      </c>
      <c r="Z351" t="n">
        <v>164</v>
      </c>
      <c r="AA351" t="n">
        <v>274</v>
      </c>
      <c r="AB351" t="n">
        <v>1</v>
      </c>
      <c r="AC351" t="n">
        <v>1</v>
      </c>
      <c r="AD351" t="n">
        <v>4</v>
      </c>
      <c r="AE351" t="n">
        <v>9</v>
      </c>
      <c r="AF351" t="n">
        <v>1</v>
      </c>
      <c r="AG351" t="n">
        <v>3</v>
      </c>
      <c r="AH351" t="n">
        <v>2</v>
      </c>
      <c r="AI351" t="n">
        <v>4</v>
      </c>
      <c r="AJ351" t="n">
        <v>2</v>
      </c>
      <c r="AK351" t="n">
        <v>5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HYPERLINK("https://creighton-primo.hosted.exlibrisgroup.com/primo-explore/search?tab=default_tab&amp;search_scope=EVERYTHING&amp;vid=01CRU&amp;lang=en_US&amp;offset=0&amp;query=any,contains,991000957669702656","Catalog Record")</f>
        <v/>
      </c>
      <c r="AT351">
        <f>HYPERLINK("http://www.worldcat.org/oclc/3843503","WorldCat Record")</f>
        <v/>
      </c>
    </row>
    <row r="352">
      <c r="A352" t="inlineStr">
        <is>
          <t>No</t>
        </is>
      </c>
      <c r="B352" t="inlineStr">
        <is>
          <t>QV 76.5 T355 1992</t>
        </is>
      </c>
      <c r="C352" t="inlineStr">
        <is>
          <t>0                      QV 0076500T  355         1992</t>
        </is>
      </c>
      <c r="D352" t="inlineStr">
        <is>
          <t>Textbook of clinical neuropharmacology and therapeutics / editors, Harold L. Klawans, Christopher G. Goetz, Caroline M. Tanner.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L352" t="inlineStr">
        <is>
          <t>New York : Raven Press, c1992.</t>
        </is>
      </c>
      <c r="M352" t="inlineStr">
        <is>
          <t>1992</t>
        </is>
      </c>
      <c r="N352" t="inlineStr">
        <is>
          <t>2nd ed.</t>
        </is>
      </c>
      <c r="O352" t="inlineStr">
        <is>
          <t>eng</t>
        </is>
      </c>
      <c r="P352" t="inlineStr">
        <is>
          <t>xxu</t>
        </is>
      </c>
      <c r="R352" t="inlineStr">
        <is>
          <t xml:space="preserve">QV </t>
        </is>
      </c>
      <c r="S352" t="n">
        <v>11</v>
      </c>
      <c r="T352" t="n">
        <v>11</v>
      </c>
      <c r="U352" t="inlineStr">
        <is>
          <t>1996-05-10</t>
        </is>
      </c>
      <c r="V352" t="inlineStr">
        <is>
          <t>1996-05-10</t>
        </is>
      </c>
      <c r="W352" t="inlineStr">
        <is>
          <t>1992-02-04</t>
        </is>
      </c>
      <c r="X352" t="inlineStr">
        <is>
          <t>1992-02-04</t>
        </is>
      </c>
      <c r="Y352" t="n">
        <v>151</v>
      </c>
      <c r="Z352" t="n">
        <v>98</v>
      </c>
      <c r="AA352" t="n">
        <v>100</v>
      </c>
      <c r="AB352" t="n">
        <v>1</v>
      </c>
      <c r="AC352" t="n">
        <v>1</v>
      </c>
      <c r="AD352" t="n">
        <v>5</v>
      </c>
      <c r="AE352" t="n">
        <v>5</v>
      </c>
      <c r="AF352" t="n">
        <v>2</v>
      </c>
      <c r="AG352" t="n">
        <v>2</v>
      </c>
      <c r="AH352" t="n">
        <v>2</v>
      </c>
      <c r="AI352" t="n">
        <v>2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HYPERLINK("http://catalog.hathitrust.org/Record/002501401","HathiTrust Record")</f>
        <v/>
      </c>
      <c r="AS352">
        <f>HYPERLINK("https://creighton-primo.hosted.exlibrisgroup.com/primo-explore/search?tab=default_tab&amp;search_scope=EVERYTHING&amp;vid=01CRU&amp;lang=en_US&amp;offset=0&amp;query=any,contains,991001031639702656","Catalog Record")</f>
        <v/>
      </c>
      <c r="AT352">
        <f>HYPERLINK("http://www.worldcat.org/oclc/24246648","WorldCat Record")</f>
        <v/>
      </c>
    </row>
    <row r="353">
      <c r="A353" t="inlineStr">
        <is>
          <t>No</t>
        </is>
      </c>
      <c r="B353" t="inlineStr">
        <is>
          <t>QV 77 A512pa 1974</t>
        </is>
      </c>
      <c r="C353" t="inlineStr">
        <is>
          <t>0                      QV 0077000A  512pa       1974</t>
        </is>
      </c>
      <c r="D353" t="inlineStr">
        <is>
          <t>Pharmacokinetics of psychoactive drugs : blood levels and clinical response / edited by Louis A. Gottschalk and Sidney Merlis.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American College of Neuropsychopharmacology.</t>
        </is>
      </c>
      <c r="L353" t="inlineStr">
        <is>
          <t>-- New York : Spectrum Publications : distributed by Halsted Press, c1976.</t>
        </is>
      </c>
      <c r="M353" t="inlineStr">
        <is>
          <t>1976</t>
        </is>
      </c>
      <c r="O353" t="inlineStr">
        <is>
          <t>eng</t>
        </is>
      </c>
      <c r="P353" t="inlineStr">
        <is>
          <t>nyu</t>
        </is>
      </c>
      <c r="R353" t="inlineStr">
        <is>
          <t xml:space="preserve">QV </t>
        </is>
      </c>
      <c r="S353" t="n">
        <v>9</v>
      </c>
      <c r="T353" t="n">
        <v>9</v>
      </c>
      <c r="U353" t="inlineStr">
        <is>
          <t>1995-06-18</t>
        </is>
      </c>
      <c r="V353" t="inlineStr">
        <is>
          <t>1995-06-18</t>
        </is>
      </c>
      <c r="W353" t="inlineStr">
        <is>
          <t>1988-02-08</t>
        </is>
      </c>
      <c r="X353" t="inlineStr">
        <is>
          <t>1988-02-08</t>
        </is>
      </c>
      <c r="Y353" t="n">
        <v>188</v>
      </c>
      <c r="Z353" t="n">
        <v>134</v>
      </c>
      <c r="AA353" t="n">
        <v>136</v>
      </c>
      <c r="AB353" t="n">
        <v>3</v>
      </c>
      <c r="AC353" t="n">
        <v>3</v>
      </c>
      <c r="AD353" t="n">
        <v>4</v>
      </c>
      <c r="AE353" t="n">
        <v>4</v>
      </c>
      <c r="AF353" t="n">
        <v>1</v>
      </c>
      <c r="AG353" t="n">
        <v>1</v>
      </c>
      <c r="AH353" t="n">
        <v>1</v>
      </c>
      <c r="AI353" t="n">
        <v>1</v>
      </c>
      <c r="AJ353" t="n">
        <v>0</v>
      </c>
      <c r="AK353" t="n">
        <v>0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HYPERLINK("http://catalog.hathitrust.org/Record/000694067","HathiTrust Record")</f>
        <v/>
      </c>
      <c r="AS353">
        <f>HYPERLINK("https://creighton-primo.hosted.exlibrisgroup.com/primo-explore/search?tab=default_tab&amp;search_scope=EVERYTHING&amp;vid=01CRU&amp;lang=en_US&amp;offset=0&amp;query=any,contains,991000957709702656","Catalog Record")</f>
        <v/>
      </c>
      <c r="AT353">
        <f>HYPERLINK("http://www.worldcat.org/oclc/1992083","WorldCat Record")</f>
        <v/>
      </c>
    </row>
    <row r="354">
      <c r="A354" t="inlineStr">
        <is>
          <t>No</t>
        </is>
      </c>
      <c r="B354" t="inlineStr">
        <is>
          <t>QV 77 B615 1991</t>
        </is>
      </c>
      <c r="C354" t="inlineStr">
        <is>
          <t>0                      QV 0077000B  615         1991</t>
        </is>
      </c>
      <c r="D354" t="inlineStr">
        <is>
          <t>The Biological basis of drug tolerance and dependence / Edited by Judith Pratt.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London ; San Diego : Academic Press London, c1991.</t>
        </is>
      </c>
      <c r="M354" t="inlineStr">
        <is>
          <t>1991</t>
        </is>
      </c>
      <c r="O354" t="inlineStr">
        <is>
          <t>eng</t>
        </is>
      </c>
      <c r="P354" t="inlineStr">
        <is>
          <t>enk</t>
        </is>
      </c>
      <c r="Q354" t="inlineStr">
        <is>
          <t>Neuroscience perspectives ; 3</t>
        </is>
      </c>
      <c r="R354" t="inlineStr">
        <is>
          <t xml:space="preserve">QV </t>
        </is>
      </c>
      <c r="S354" t="n">
        <v>8</v>
      </c>
      <c r="T354" t="n">
        <v>8</v>
      </c>
      <c r="U354" t="inlineStr">
        <is>
          <t>2006-04-17</t>
        </is>
      </c>
      <c r="V354" t="inlineStr">
        <is>
          <t>2006-04-17</t>
        </is>
      </c>
      <c r="W354" t="inlineStr">
        <is>
          <t>1992-05-07</t>
        </is>
      </c>
      <c r="X354" t="inlineStr">
        <is>
          <t>1992-05-07</t>
        </is>
      </c>
      <c r="Y354" t="n">
        <v>133</v>
      </c>
      <c r="Z354" t="n">
        <v>98</v>
      </c>
      <c r="AA354" t="n">
        <v>102</v>
      </c>
      <c r="AB354" t="n">
        <v>1</v>
      </c>
      <c r="AC354" t="n">
        <v>1</v>
      </c>
      <c r="AD354" t="n">
        <v>5</v>
      </c>
      <c r="AE354" t="n">
        <v>5</v>
      </c>
      <c r="AF354" t="n">
        <v>0</v>
      </c>
      <c r="AG354" t="n">
        <v>0</v>
      </c>
      <c r="AH354" t="n">
        <v>1</v>
      </c>
      <c r="AI354" t="n">
        <v>1</v>
      </c>
      <c r="AJ354" t="n">
        <v>4</v>
      </c>
      <c r="AK354" t="n">
        <v>4</v>
      </c>
      <c r="AL354" t="n">
        <v>0</v>
      </c>
      <c r="AM354" t="n">
        <v>0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HYPERLINK("http://catalog.hathitrust.org/Record/002528875","HathiTrust Record")</f>
        <v/>
      </c>
      <c r="AS354">
        <f>HYPERLINK("https://creighton-primo.hosted.exlibrisgroup.com/primo-explore/search?tab=default_tab&amp;search_scope=EVERYTHING&amp;vid=01CRU&amp;lang=en_US&amp;offset=0&amp;query=any,contains,991001304649702656","Catalog Record")</f>
        <v/>
      </c>
      <c r="AT354">
        <f>HYPERLINK("http://www.worldcat.org/oclc/27435100","WorldCat Record")</f>
        <v/>
      </c>
    </row>
    <row r="355">
      <c r="A355" t="inlineStr">
        <is>
          <t>No</t>
        </is>
      </c>
      <c r="B355" t="inlineStr">
        <is>
          <t>QV 77 B833p 1983</t>
        </is>
      </c>
      <c r="C355" t="inlineStr">
        <is>
          <t>0                      QV 0077000B  833p        1983</t>
        </is>
      </c>
      <c r="D355" t="inlineStr">
        <is>
          <t>Psychiatric drugs : hazards to the brain / Peter R. Breggin.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Breggin, Peter Roger, 1936-</t>
        </is>
      </c>
      <c r="L355" t="inlineStr">
        <is>
          <t>New York : Springer, c1983.</t>
        </is>
      </c>
      <c r="M355" t="inlineStr">
        <is>
          <t>1983</t>
        </is>
      </c>
      <c r="O355" t="inlineStr">
        <is>
          <t>eng</t>
        </is>
      </c>
      <c r="P355" t="inlineStr">
        <is>
          <t>xxu</t>
        </is>
      </c>
      <c r="R355" t="inlineStr">
        <is>
          <t xml:space="preserve">QV </t>
        </is>
      </c>
      <c r="S355" t="n">
        <v>7</v>
      </c>
      <c r="T355" t="n">
        <v>7</v>
      </c>
      <c r="U355" t="inlineStr">
        <is>
          <t>1994-02-15</t>
        </is>
      </c>
      <c r="V355" t="inlineStr">
        <is>
          <t>1994-02-15</t>
        </is>
      </c>
      <c r="W355" t="inlineStr">
        <is>
          <t>1988-02-08</t>
        </is>
      </c>
      <c r="X355" t="inlineStr">
        <is>
          <t>1988-02-08</t>
        </is>
      </c>
      <c r="Y355" t="n">
        <v>264</v>
      </c>
      <c r="Z355" t="n">
        <v>227</v>
      </c>
      <c r="AA355" t="n">
        <v>233</v>
      </c>
      <c r="AB355" t="n">
        <v>2</v>
      </c>
      <c r="AC355" t="n">
        <v>2</v>
      </c>
      <c r="AD355" t="n">
        <v>7</v>
      </c>
      <c r="AE355" t="n">
        <v>7</v>
      </c>
      <c r="AF355" t="n">
        <v>2</v>
      </c>
      <c r="AG355" t="n">
        <v>2</v>
      </c>
      <c r="AH355" t="n">
        <v>2</v>
      </c>
      <c r="AI355" t="n">
        <v>2</v>
      </c>
      <c r="AJ355" t="n">
        <v>4</v>
      </c>
      <c r="AK355" t="n">
        <v>4</v>
      </c>
      <c r="AL355" t="n">
        <v>1</v>
      </c>
      <c r="AM355" t="n">
        <v>1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HYPERLINK("http://catalog.hathitrust.org/Record/000162117","HathiTrust Record")</f>
        <v/>
      </c>
      <c r="AS355">
        <f>HYPERLINK("https://creighton-primo.hosted.exlibrisgroup.com/primo-explore/search?tab=default_tab&amp;search_scope=EVERYTHING&amp;vid=01CRU&amp;lang=en_US&amp;offset=0&amp;query=any,contains,991000957749702656","Catalog Record")</f>
        <v/>
      </c>
      <c r="AT355">
        <f>HYPERLINK("http://www.worldcat.org/oclc/8952110","WorldCat Record")</f>
        <v/>
      </c>
    </row>
    <row r="356">
      <c r="A356" t="inlineStr">
        <is>
          <t>No</t>
        </is>
      </c>
      <c r="B356" t="inlineStr">
        <is>
          <t>QV 77 C777b 1991</t>
        </is>
      </c>
      <c r="C356" t="inlineStr">
        <is>
          <t>0                      QV 0077000C  777b        1991</t>
        </is>
      </c>
      <c r="D356" t="inlineStr">
        <is>
          <t>The biochemical basis of neuropharmacology / Jack R. Cooper, Floyd E. Bloom, Robert H. Roth.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Yes</t>
        </is>
      </c>
      <c r="J356" t="inlineStr">
        <is>
          <t>0</t>
        </is>
      </c>
      <c r="K356" t="inlineStr">
        <is>
          <t>Cooper, Jack R., 1924-</t>
        </is>
      </c>
      <c r="L356" t="inlineStr">
        <is>
          <t>New York : Oxford University Press, c1991.</t>
        </is>
      </c>
      <c r="M356" t="inlineStr">
        <is>
          <t>1991</t>
        </is>
      </c>
      <c r="N356" t="inlineStr">
        <is>
          <t>6th ed.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QV </t>
        </is>
      </c>
      <c r="S356" t="n">
        <v>2</v>
      </c>
      <c r="T356" t="n">
        <v>2</v>
      </c>
      <c r="U356" t="inlineStr">
        <is>
          <t>1996-05-02</t>
        </is>
      </c>
      <c r="V356" t="inlineStr">
        <is>
          <t>1996-05-02</t>
        </is>
      </c>
      <c r="W356" t="inlineStr">
        <is>
          <t>1991-11-22</t>
        </is>
      </c>
      <c r="X356" t="inlineStr">
        <is>
          <t>1991-11-22</t>
        </is>
      </c>
      <c r="Y356" t="n">
        <v>480</v>
      </c>
      <c r="Z356" t="n">
        <v>356</v>
      </c>
      <c r="AA356" t="n">
        <v>1061</v>
      </c>
      <c r="AB356" t="n">
        <v>4</v>
      </c>
      <c r="AC356" t="n">
        <v>14</v>
      </c>
      <c r="AD356" t="n">
        <v>20</v>
      </c>
      <c r="AE356" t="n">
        <v>51</v>
      </c>
      <c r="AF356" t="n">
        <v>7</v>
      </c>
      <c r="AG356" t="n">
        <v>19</v>
      </c>
      <c r="AH356" t="n">
        <v>6</v>
      </c>
      <c r="AI356" t="n">
        <v>12</v>
      </c>
      <c r="AJ356" t="n">
        <v>10</v>
      </c>
      <c r="AK356" t="n">
        <v>22</v>
      </c>
      <c r="AL356" t="n">
        <v>3</v>
      </c>
      <c r="AM356" t="n">
        <v>9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HYPERLINK("http://catalog.hathitrust.org/Record/002480197","HathiTrust Record")</f>
        <v/>
      </c>
      <c r="AS356">
        <f>HYPERLINK("https://creighton-primo.hosted.exlibrisgroup.com/primo-explore/search?tab=default_tab&amp;search_scope=EVERYTHING&amp;vid=01CRU&amp;lang=en_US&amp;offset=0&amp;query=any,contains,991001023399702656","Catalog Record")</f>
        <v/>
      </c>
      <c r="AT356">
        <f>HYPERLINK("http://www.worldcat.org/oclc/22983425","WorldCat Record")</f>
        <v/>
      </c>
    </row>
    <row r="357">
      <c r="A357" t="inlineStr">
        <is>
          <t>No</t>
        </is>
      </c>
      <c r="B357" t="inlineStr">
        <is>
          <t>QV 77 D488f 1990</t>
        </is>
      </c>
      <c r="C357" t="inlineStr">
        <is>
          <t>0                      QV 0077000D  488f        1990</t>
        </is>
      </c>
      <c r="D357" t="inlineStr">
        <is>
          <t>Fundamentals of monitoring psychoactive drug therapy / C. Lindsay DeVane.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DeVane, C. Lindsay.</t>
        </is>
      </c>
      <c r="L357" t="inlineStr">
        <is>
          <t>Baltimore : Williams &amp; Wilkins, c1990.</t>
        </is>
      </c>
      <c r="M357" t="inlineStr">
        <is>
          <t>1990</t>
        </is>
      </c>
      <c r="O357" t="inlineStr">
        <is>
          <t>eng</t>
        </is>
      </c>
      <c r="P357" t="inlineStr">
        <is>
          <t>xxu</t>
        </is>
      </c>
      <c r="R357" t="inlineStr">
        <is>
          <t xml:space="preserve">QV </t>
        </is>
      </c>
      <c r="S357" t="n">
        <v>8</v>
      </c>
      <c r="T357" t="n">
        <v>8</v>
      </c>
      <c r="U357" t="inlineStr">
        <is>
          <t>1998-10-26</t>
        </is>
      </c>
      <c r="V357" t="inlineStr">
        <is>
          <t>1998-10-26</t>
        </is>
      </c>
      <c r="W357" t="inlineStr">
        <is>
          <t>1990-08-16</t>
        </is>
      </c>
      <c r="X357" t="inlineStr">
        <is>
          <t>1990-08-16</t>
        </is>
      </c>
      <c r="Y357" t="n">
        <v>102</v>
      </c>
      <c r="Z357" t="n">
        <v>78</v>
      </c>
      <c r="AA357" t="n">
        <v>80</v>
      </c>
      <c r="AB357" t="n">
        <v>1</v>
      </c>
      <c r="AC357" t="n">
        <v>1</v>
      </c>
      <c r="AD357" t="n">
        <v>5</v>
      </c>
      <c r="AE357" t="n">
        <v>5</v>
      </c>
      <c r="AF357" t="n">
        <v>2</v>
      </c>
      <c r="AG357" t="n">
        <v>2</v>
      </c>
      <c r="AH357" t="n">
        <v>1</v>
      </c>
      <c r="AI357" t="n">
        <v>1</v>
      </c>
      <c r="AJ357" t="n">
        <v>2</v>
      </c>
      <c r="AK357" t="n">
        <v>2</v>
      </c>
      <c r="AL357" t="n">
        <v>0</v>
      </c>
      <c r="AM357" t="n">
        <v>0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HYPERLINK("http://catalog.hathitrust.org/Record/001942707","HathiTrust Record")</f>
        <v/>
      </c>
      <c r="AS357">
        <f>HYPERLINK("https://creighton-primo.hosted.exlibrisgroup.com/primo-explore/search?tab=default_tab&amp;search_scope=EVERYTHING&amp;vid=01CRU&amp;lang=en_US&amp;offset=0&amp;query=any,contains,991001453539702656","Catalog Record")</f>
        <v/>
      </c>
      <c r="AT357">
        <f>HYPERLINK("http://www.worldcat.org/oclc/19847368","WorldCat Record")</f>
        <v/>
      </c>
    </row>
    <row r="358">
      <c r="A358" t="inlineStr">
        <is>
          <t>No</t>
        </is>
      </c>
      <c r="B358" t="inlineStr">
        <is>
          <t>QV 77 D793 1985</t>
        </is>
      </c>
      <c r="C358" t="inlineStr">
        <is>
          <t>0                      QV 0077000D  793         1985</t>
        </is>
      </c>
      <c r="D358" t="inlineStr">
        <is>
          <t>Drugs in central nervous system disorders / edited by David C. Horwell.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Dekker, c1985.</t>
        </is>
      </c>
      <c r="M358" t="inlineStr">
        <is>
          <t>1985</t>
        </is>
      </c>
      <c r="O358" t="inlineStr">
        <is>
          <t>eng</t>
        </is>
      </c>
      <c r="P358" t="inlineStr">
        <is>
          <t>xxu</t>
        </is>
      </c>
      <c r="Q358" t="inlineStr">
        <is>
          <t>Clinical pharmacology ; v. 2</t>
        </is>
      </c>
      <c r="R358" t="inlineStr">
        <is>
          <t xml:space="preserve">QV </t>
        </is>
      </c>
      <c r="S358" t="n">
        <v>5</v>
      </c>
      <c r="T358" t="n">
        <v>5</v>
      </c>
      <c r="U358" t="inlineStr">
        <is>
          <t>1995-06-21</t>
        </is>
      </c>
      <c r="V358" t="inlineStr">
        <is>
          <t>1995-06-21</t>
        </is>
      </c>
      <c r="W358" t="inlineStr">
        <is>
          <t>1988-02-08</t>
        </is>
      </c>
      <c r="X358" t="inlineStr">
        <is>
          <t>1988-02-08</t>
        </is>
      </c>
      <c r="Y358" t="n">
        <v>151</v>
      </c>
      <c r="Z358" t="n">
        <v>106</v>
      </c>
      <c r="AA358" t="n">
        <v>108</v>
      </c>
      <c r="AB358" t="n">
        <v>1</v>
      </c>
      <c r="AC358" t="n">
        <v>1</v>
      </c>
      <c r="AD358" t="n">
        <v>3</v>
      </c>
      <c r="AE358" t="n">
        <v>3</v>
      </c>
      <c r="AF358" t="n">
        <v>1</v>
      </c>
      <c r="AG358" t="n">
        <v>1</v>
      </c>
      <c r="AH358" t="n">
        <v>2</v>
      </c>
      <c r="AI358" t="n">
        <v>2</v>
      </c>
      <c r="AJ358" t="n">
        <v>1</v>
      </c>
      <c r="AK358" t="n">
        <v>1</v>
      </c>
      <c r="AL358" t="n">
        <v>0</v>
      </c>
      <c r="AM358" t="n">
        <v>0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HYPERLINK("http://catalog.hathitrust.org/Record/000459996","HathiTrust Record")</f>
        <v/>
      </c>
      <c r="AS358">
        <f>HYPERLINK("https://creighton-primo.hosted.exlibrisgroup.com/primo-explore/search?tab=default_tab&amp;search_scope=EVERYTHING&amp;vid=01CRU&amp;lang=en_US&amp;offset=0&amp;query=any,contains,991000957789702656","Catalog Record")</f>
        <v/>
      </c>
      <c r="AT358">
        <f>HYPERLINK("http://www.worldcat.org/oclc/11518064","WorldCat Record")</f>
        <v/>
      </c>
    </row>
    <row r="359">
      <c r="A359" t="inlineStr">
        <is>
          <t>No</t>
        </is>
      </c>
      <c r="B359" t="inlineStr">
        <is>
          <t>QV 77 E84 1967a</t>
        </is>
      </c>
      <c r="C359" t="inlineStr">
        <is>
          <t>0                      QV 0077000E  84          1967a</t>
        </is>
      </c>
      <c r="D359" t="inlineStr">
        <is>
          <t>Ethnopharmacologic search for psychoactive drugs / Daniel H. Efron, editor-in-chief, Bo Holmstedt, co-editor, Nathan S. Kline, co-editor.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New York : Raven Press, 1979.</t>
        </is>
      </c>
      <c r="M359" t="inlineStr">
        <is>
          <t>1979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QV </t>
        </is>
      </c>
      <c r="S359" t="n">
        <v>4</v>
      </c>
      <c r="T359" t="n">
        <v>4</v>
      </c>
      <c r="U359" t="inlineStr">
        <is>
          <t>1989-03-01</t>
        </is>
      </c>
      <c r="V359" t="inlineStr">
        <is>
          <t>1989-03-01</t>
        </is>
      </c>
      <c r="W359" t="inlineStr">
        <is>
          <t>1988-02-08</t>
        </is>
      </c>
      <c r="X359" t="inlineStr">
        <is>
          <t>1988-02-08</t>
        </is>
      </c>
      <c r="Y359" t="n">
        <v>104</v>
      </c>
      <c r="Z359" t="n">
        <v>71</v>
      </c>
      <c r="AA359" t="n">
        <v>102</v>
      </c>
      <c r="AB359" t="n">
        <v>1</v>
      </c>
      <c r="AC359" t="n">
        <v>1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HYPERLINK("http://catalog.hathitrust.org/Record/000300845","HathiTrust Record")</f>
        <v/>
      </c>
      <c r="AS359">
        <f>HYPERLINK("https://creighton-primo.hosted.exlibrisgroup.com/primo-explore/search?tab=default_tab&amp;search_scope=EVERYTHING&amp;vid=01CRU&amp;lang=en_US&amp;offset=0&amp;query=any,contains,991000957829702656","Catalog Record")</f>
        <v/>
      </c>
      <c r="AT359">
        <f>HYPERLINK("http://www.worldcat.org/oclc/4933187","WorldCat Record")</f>
        <v/>
      </c>
    </row>
    <row r="360">
      <c r="A360" t="inlineStr">
        <is>
          <t>No</t>
        </is>
      </c>
      <c r="B360" t="inlineStr">
        <is>
          <t>QV 77 H744ca 1990</t>
        </is>
      </c>
      <c r="C360" t="inlineStr">
        <is>
          <t>0                      QV 0077000H  744ca       1990</t>
        </is>
      </c>
      <c r="D360" t="inlineStr">
        <is>
          <t>Clinical pharmacology of psychotherapeutic drugs / Leo E. Hollister, John G. Csernansky.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Hollister, Leo E., 1920-2000.</t>
        </is>
      </c>
      <c r="L360" t="inlineStr">
        <is>
          <t>New York : Churchill Livingstone, c1990.</t>
        </is>
      </c>
      <c r="M360" t="inlineStr">
        <is>
          <t>1990</t>
        </is>
      </c>
      <c r="N360" t="inlineStr">
        <is>
          <t>3rd ed.</t>
        </is>
      </c>
      <c r="O360" t="inlineStr">
        <is>
          <t>eng</t>
        </is>
      </c>
      <c r="P360" t="inlineStr">
        <is>
          <t>xxu</t>
        </is>
      </c>
      <c r="R360" t="inlineStr">
        <is>
          <t xml:space="preserve">QV </t>
        </is>
      </c>
      <c r="S360" t="n">
        <v>9</v>
      </c>
      <c r="T360" t="n">
        <v>9</v>
      </c>
      <c r="U360" t="inlineStr">
        <is>
          <t>1995-08-22</t>
        </is>
      </c>
      <c r="V360" t="inlineStr">
        <is>
          <t>1995-08-22</t>
        </is>
      </c>
      <c r="W360" t="inlineStr">
        <is>
          <t>1990-08-16</t>
        </is>
      </c>
      <c r="X360" t="inlineStr">
        <is>
          <t>1990-08-16</t>
        </is>
      </c>
      <c r="Y360" t="n">
        <v>164</v>
      </c>
      <c r="Z360" t="n">
        <v>112</v>
      </c>
      <c r="AA360" t="n">
        <v>211</v>
      </c>
      <c r="AB360" t="n">
        <v>1</v>
      </c>
      <c r="AC360" t="n">
        <v>1</v>
      </c>
      <c r="AD360" t="n">
        <v>6</v>
      </c>
      <c r="AE360" t="n">
        <v>7</v>
      </c>
      <c r="AF360" t="n">
        <v>3</v>
      </c>
      <c r="AG360" t="n">
        <v>3</v>
      </c>
      <c r="AH360" t="n">
        <v>1</v>
      </c>
      <c r="AI360" t="n">
        <v>1</v>
      </c>
      <c r="AJ360" t="n">
        <v>2</v>
      </c>
      <c r="AK360" t="n">
        <v>3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HYPERLINK("http://catalog.hathitrust.org/Record/001842658","HathiTrust Record")</f>
        <v/>
      </c>
      <c r="AS360">
        <f>HYPERLINK("https://creighton-primo.hosted.exlibrisgroup.com/primo-explore/search?tab=default_tab&amp;search_scope=EVERYTHING&amp;vid=01CRU&amp;lang=en_US&amp;offset=0&amp;query=any,contains,991001453609702656","Catalog Record")</f>
        <v/>
      </c>
      <c r="AT360">
        <f>HYPERLINK("http://www.worldcat.org/oclc/20318620","WorldCat Record")</f>
        <v/>
      </c>
    </row>
    <row r="361">
      <c r="A361" t="inlineStr">
        <is>
          <t>No</t>
        </is>
      </c>
      <c r="B361" t="inlineStr">
        <is>
          <t>QV 77 J94p 1992</t>
        </is>
      </c>
      <c r="C361" t="inlineStr">
        <is>
          <t>0                      QV 0077000J  94p         1992</t>
        </is>
      </c>
      <c r="D361" t="inlineStr">
        <is>
          <t>A primer of drug action : a concise, nontechnical guide to the actions, uses, and side effects of psychoactive drugs / Robert M. Julien.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Julien, Robert M.</t>
        </is>
      </c>
      <c r="L361" t="inlineStr">
        <is>
          <t>New York : W.H. Freeman, c1992.</t>
        </is>
      </c>
      <c r="M361" t="inlineStr">
        <is>
          <t>1992</t>
        </is>
      </c>
      <c r="N361" t="inlineStr">
        <is>
          <t>6th ed.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QV </t>
        </is>
      </c>
      <c r="S361" t="n">
        <v>2</v>
      </c>
      <c r="T361" t="n">
        <v>2</v>
      </c>
      <c r="U361" t="inlineStr">
        <is>
          <t>1998-10-26</t>
        </is>
      </c>
      <c r="V361" t="inlineStr">
        <is>
          <t>1998-10-26</t>
        </is>
      </c>
      <c r="W361" t="inlineStr">
        <is>
          <t>1997-09-23</t>
        </is>
      </c>
      <c r="X361" t="inlineStr">
        <is>
          <t>1997-09-23</t>
        </is>
      </c>
      <c r="Y361" t="n">
        <v>190</v>
      </c>
      <c r="Z361" t="n">
        <v>133</v>
      </c>
      <c r="AA361" t="n">
        <v>663</v>
      </c>
      <c r="AB361" t="n">
        <v>1</v>
      </c>
      <c r="AC361" t="n">
        <v>1</v>
      </c>
      <c r="AD361" t="n">
        <v>7</v>
      </c>
      <c r="AE361" t="n">
        <v>16</v>
      </c>
      <c r="AF361" t="n">
        <v>3</v>
      </c>
      <c r="AG361" t="n">
        <v>8</v>
      </c>
      <c r="AH361" t="n">
        <v>2</v>
      </c>
      <c r="AI361" t="n">
        <v>6</v>
      </c>
      <c r="AJ361" t="n">
        <v>2</v>
      </c>
      <c r="AK361" t="n">
        <v>6</v>
      </c>
      <c r="AL361" t="n">
        <v>0</v>
      </c>
      <c r="AM361" t="n">
        <v>0</v>
      </c>
      <c r="AN361" t="n">
        <v>0</v>
      </c>
      <c r="AO361" t="n">
        <v>0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HYPERLINK("https://creighton-primo.hosted.exlibrisgroup.com/primo-explore/search?tab=default_tab&amp;search_scope=EVERYTHING&amp;vid=01CRU&amp;lang=en_US&amp;offset=0&amp;query=any,contains,991001131009702656","Catalog Record")</f>
        <v/>
      </c>
      <c r="AT361">
        <f>HYPERLINK("http://www.worldcat.org/oclc/23732173","WorldCat Record")</f>
        <v/>
      </c>
    </row>
    <row r="362">
      <c r="A362" t="inlineStr">
        <is>
          <t>No</t>
        </is>
      </c>
      <c r="B362" t="inlineStr">
        <is>
          <t>QV 77 K29p 1993</t>
        </is>
      </c>
      <c r="C362" t="inlineStr">
        <is>
          <t>0                      QV 0077000K  29p         1993</t>
        </is>
      </c>
      <c r="D362" t="inlineStr">
        <is>
          <t>Psychotropic drugs / Norman L. Keltner, David G. Folks.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Yes</t>
        </is>
      </c>
      <c r="J362" t="inlineStr">
        <is>
          <t>0</t>
        </is>
      </c>
      <c r="K362" t="inlineStr">
        <is>
          <t>Keltner, Norman L.</t>
        </is>
      </c>
      <c r="L362" t="inlineStr">
        <is>
          <t>St. Louis : Mosby, c1993.</t>
        </is>
      </c>
      <c r="M362" t="inlineStr">
        <is>
          <t>1993</t>
        </is>
      </c>
      <c r="O362" t="inlineStr">
        <is>
          <t>eng</t>
        </is>
      </c>
      <c r="P362" t="inlineStr">
        <is>
          <t>mou</t>
        </is>
      </c>
      <c r="R362" t="inlineStr">
        <is>
          <t xml:space="preserve">QV </t>
        </is>
      </c>
      <c r="S362" t="n">
        <v>7</v>
      </c>
      <c r="T362" t="n">
        <v>7</v>
      </c>
      <c r="U362" t="inlineStr">
        <is>
          <t>1994-09-07</t>
        </is>
      </c>
      <c r="V362" t="inlineStr">
        <is>
          <t>1994-09-07</t>
        </is>
      </c>
      <c r="W362" t="inlineStr">
        <is>
          <t>1994-09-07</t>
        </is>
      </c>
      <c r="X362" t="inlineStr">
        <is>
          <t>1994-09-07</t>
        </is>
      </c>
      <c r="Y362" t="n">
        <v>207</v>
      </c>
      <c r="Z362" t="n">
        <v>176</v>
      </c>
      <c r="AA362" t="n">
        <v>535</v>
      </c>
      <c r="AB362" t="n">
        <v>2</v>
      </c>
      <c r="AC362" t="n">
        <v>2</v>
      </c>
      <c r="AD362" t="n">
        <v>7</v>
      </c>
      <c r="AE362" t="n">
        <v>22</v>
      </c>
      <c r="AF362" t="n">
        <v>3</v>
      </c>
      <c r="AG362" t="n">
        <v>12</v>
      </c>
      <c r="AH362" t="n">
        <v>1</v>
      </c>
      <c r="AI362" t="n">
        <v>4</v>
      </c>
      <c r="AJ362" t="n">
        <v>4</v>
      </c>
      <c r="AK362" t="n">
        <v>12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HYPERLINK("http://catalog.hathitrust.org/Record/002630887","HathiTrust Record")</f>
        <v/>
      </c>
      <c r="AS362">
        <f>HYPERLINK("https://creighton-primo.hosted.exlibrisgroup.com/primo-explore/search?tab=default_tab&amp;search_scope=EVERYTHING&amp;vid=01CRU&amp;lang=en_US&amp;offset=0&amp;query=any,contains,991000674619702656","Catalog Record")</f>
        <v/>
      </c>
      <c r="AT362">
        <f>HYPERLINK("http://www.worldcat.org/oclc/27311142","WorldCat Record")</f>
        <v/>
      </c>
    </row>
    <row r="363">
      <c r="A363" t="inlineStr">
        <is>
          <t>No</t>
        </is>
      </c>
      <c r="B363" t="inlineStr">
        <is>
          <t>QV 77 L154i 1983</t>
        </is>
      </c>
      <c r="C363" t="inlineStr">
        <is>
          <t>0                      QV 0077000L  154i        1983</t>
        </is>
      </c>
      <c r="D363" t="inlineStr">
        <is>
          <t>Introduction to psychopharmacology / Malcolm Lader.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Lader, Malcolm Harold.</t>
        </is>
      </c>
      <c r="L363" t="inlineStr">
        <is>
          <t>Kalamazoo, Mich. : Upjohn, c1983.</t>
        </is>
      </c>
      <c r="M363" t="inlineStr">
        <is>
          <t>1983</t>
        </is>
      </c>
      <c r="O363" t="inlineStr">
        <is>
          <t>eng</t>
        </is>
      </c>
      <c r="P363" t="inlineStr">
        <is>
          <t>miu</t>
        </is>
      </c>
      <c r="Q363" t="inlineStr">
        <is>
          <t>A SCOPE publication</t>
        </is>
      </c>
      <c r="R363" t="inlineStr">
        <is>
          <t xml:space="preserve">QV </t>
        </is>
      </c>
      <c r="S363" t="n">
        <v>5</v>
      </c>
      <c r="T363" t="n">
        <v>5</v>
      </c>
      <c r="U363" t="inlineStr">
        <is>
          <t>1990-11-05</t>
        </is>
      </c>
      <c r="V363" t="inlineStr">
        <is>
          <t>1990-11-05</t>
        </is>
      </c>
      <c r="W363" t="inlineStr">
        <is>
          <t>1990-11-05</t>
        </is>
      </c>
      <c r="X363" t="inlineStr">
        <is>
          <t>1990-11-05</t>
        </is>
      </c>
      <c r="Y363" t="n">
        <v>108</v>
      </c>
      <c r="Z363" t="n">
        <v>90</v>
      </c>
      <c r="AA363" t="n">
        <v>140</v>
      </c>
      <c r="AB363" t="n">
        <v>1</v>
      </c>
      <c r="AC363" t="n">
        <v>1</v>
      </c>
      <c r="AD363" t="n">
        <v>3</v>
      </c>
      <c r="AE363" t="n">
        <v>3</v>
      </c>
      <c r="AF363" t="n">
        <v>1</v>
      </c>
      <c r="AG363" t="n">
        <v>1</v>
      </c>
      <c r="AH363" t="n">
        <v>1</v>
      </c>
      <c r="AI363" t="n">
        <v>1</v>
      </c>
      <c r="AJ363" t="n">
        <v>1</v>
      </c>
      <c r="AK363" t="n">
        <v>1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HYPERLINK("http://catalog.hathitrust.org/Record/003794824","HathiTrust Record")</f>
        <v/>
      </c>
      <c r="AS363">
        <f>HYPERLINK("https://creighton-primo.hosted.exlibrisgroup.com/primo-explore/search?tab=default_tab&amp;search_scope=EVERYTHING&amp;vid=01CRU&amp;lang=en_US&amp;offset=0&amp;query=any,contains,991000775369702656","Catalog Record")</f>
        <v/>
      </c>
      <c r="AT363">
        <f>HYPERLINK("http://www.worldcat.org/oclc/10268203","WorldCat Record")</f>
        <v/>
      </c>
    </row>
    <row r="364">
      <c r="A364" t="inlineStr">
        <is>
          <t>No</t>
        </is>
      </c>
      <c r="B364" t="inlineStr">
        <is>
          <t>QV 77 L439d 1982</t>
        </is>
      </c>
      <c r="C364" t="inlineStr">
        <is>
          <t>0                      QV 0077000L  439d        1982</t>
        </is>
      </c>
      <c r="D364" t="inlineStr">
        <is>
          <t>Drugs and behavior / Fred Leavitt.</t>
        </is>
      </c>
      <c r="F364" t="inlineStr">
        <is>
          <t>No</t>
        </is>
      </c>
      <c r="G364" t="inlineStr">
        <is>
          <t>1</t>
        </is>
      </c>
      <c r="H364" t="inlineStr">
        <is>
          <t>Yes</t>
        </is>
      </c>
      <c r="I364" t="inlineStr">
        <is>
          <t>No</t>
        </is>
      </c>
      <c r="J364" t="inlineStr">
        <is>
          <t>0</t>
        </is>
      </c>
      <c r="K364" t="inlineStr">
        <is>
          <t>Leavitt, Fred.</t>
        </is>
      </c>
      <c r="L364" t="inlineStr">
        <is>
          <t>New York : Wiley, c1982.</t>
        </is>
      </c>
      <c r="M364" t="inlineStr">
        <is>
          <t>1982</t>
        </is>
      </c>
      <c r="N364" t="inlineStr">
        <is>
          <t>2nd ed.</t>
        </is>
      </c>
      <c r="O364" t="inlineStr">
        <is>
          <t>eng</t>
        </is>
      </c>
      <c r="P364" t="inlineStr">
        <is>
          <t>xxu</t>
        </is>
      </c>
      <c r="Q364" t="inlineStr">
        <is>
          <t>Wiley series on personality processes</t>
        </is>
      </c>
      <c r="R364" t="inlineStr">
        <is>
          <t xml:space="preserve">QV </t>
        </is>
      </c>
      <c r="S364" t="n">
        <v>6</v>
      </c>
      <c r="T364" t="n">
        <v>6</v>
      </c>
      <c r="U364" t="inlineStr">
        <is>
          <t>2005-10-03</t>
        </is>
      </c>
      <c r="V364" t="inlineStr">
        <is>
          <t>2005-10-03</t>
        </is>
      </c>
      <c r="W364" t="inlineStr">
        <is>
          <t>1988-02-08</t>
        </is>
      </c>
      <c r="X364" t="inlineStr">
        <is>
          <t>1988-02-08</t>
        </is>
      </c>
      <c r="Y364" t="n">
        <v>372</v>
      </c>
      <c r="Z364" t="n">
        <v>294</v>
      </c>
      <c r="AA364" t="n">
        <v>578</v>
      </c>
      <c r="AB364" t="n">
        <v>6</v>
      </c>
      <c r="AC364" t="n">
        <v>9</v>
      </c>
      <c r="AD364" t="n">
        <v>18</v>
      </c>
      <c r="AE364" t="n">
        <v>32</v>
      </c>
      <c r="AF364" t="n">
        <v>5</v>
      </c>
      <c r="AG364" t="n">
        <v>9</v>
      </c>
      <c r="AH364" t="n">
        <v>4</v>
      </c>
      <c r="AI364" t="n">
        <v>7</v>
      </c>
      <c r="AJ364" t="n">
        <v>10</v>
      </c>
      <c r="AK364" t="n">
        <v>16</v>
      </c>
      <c r="AL364" t="n">
        <v>4</v>
      </c>
      <c r="AM364" t="n">
        <v>7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HYPERLINK("http://catalog.hathitrust.org/Record/000109633","HathiTrust Record")</f>
        <v/>
      </c>
      <c r="AS364">
        <f>HYPERLINK("https://creighton-primo.hosted.exlibrisgroup.com/primo-explore/search?tab=default_tab&amp;search_scope=EVERYTHING&amp;vid=01CRU&amp;lang=en_US&amp;offset=0&amp;query=any,contains,991000957869702656","Catalog Record")</f>
        <v/>
      </c>
      <c r="AT364">
        <f>HYPERLINK("http://www.worldcat.org/oclc/7925458","WorldCat Record")</f>
        <v/>
      </c>
    </row>
    <row r="365">
      <c r="A365" t="inlineStr">
        <is>
          <t>No</t>
        </is>
      </c>
      <c r="B365" t="inlineStr">
        <is>
          <t>QV 77 M687o 1989</t>
        </is>
      </c>
      <c r="C365" t="inlineStr">
        <is>
          <t>0                      QV 0077000M  687o        1989</t>
        </is>
      </c>
      <c r="D365" t="inlineStr">
        <is>
          <t>The over-50 guide to psychiatric medications / Gary S. Moak, Elliot M. Stein, Joseph E. V. Rubin.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Moak, Gary S.</t>
        </is>
      </c>
      <c r="M365" t="inlineStr">
        <is>
          <t>1989</t>
        </is>
      </c>
      <c r="O365" t="inlineStr">
        <is>
          <t>eng</t>
        </is>
      </c>
      <c r="P365" t="inlineStr">
        <is>
          <t>dcu</t>
        </is>
      </c>
      <c r="R365" t="inlineStr">
        <is>
          <t xml:space="preserve">QV </t>
        </is>
      </c>
      <c r="S365" t="n">
        <v>5</v>
      </c>
      <c r="T365" t="n">
        <v>5</v>
      </c>
      <c r="U365" t="inlineStr">
        <is>
          <t>1989-12-08</t>
        </is>
      </c>
      <c r="V365" t="inlineStr">
        <is>
          <t>1989-12-08</t>
        </is>
      </c>
      <c r="W365" t="inlineStr">
        <is>
          <t>1989-10-20</t>
        </is>
      </c>
      <c r="X365" t="inlineStr">
        <is>
          <t>1989-10-20</t>
        </is>
      </c>
      <c r="Y365" t="n">
        <v>70</v>
      </c>
      <c r="Z365" t="n">
        <v>64</v>
      </c>
      <c r="AA365" t="n">
        <v>64</v>
      </c>
      <c r="AB365" t="n">
        <v>1</v>
      </c>
      <c r="AC365" t="n">
        <v>1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HYPERLINK("https://creighton-primo.hosted.exlibrisgroup.com/primo-explore/search?tab=default_tab&amp;search_scope=EVERYTHING&amp;vid=01CRU&amp;lang=en_US&amp;offset=0&amp;query=any,contains,991001354669702656","Catalog Record")</f>
        <v/>
      </c>
      <c r="AT365">
        <f>HYPERLINK("http://www.worldcat.org/oclc/20494662","WorldCat Record")</f>
        <v/>
      </c>
    </row>
    <row r="366">
      <c r="A366" t="inlineStr">
        <is>
          <t>No</t>
        </is>
      </c>
      <c r="B366" t="inlineStr">
        <is>
          <t>QV77 N4968 2002</t>
        </is>
      </c>
      <c r="C366" t="inlineStr">
        <is>
          <t>0                      QV 0077000N  4968        2002</t>
        </is>
      </c>
      <c r="D366" t="inlineStr">
        <is>
          <t>Neuropsychopharmacology : the fifth generation of progress : an official publication of the American College of Neuropsychopharmacology / editors, Kenneth L. Davis ... [et al.].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Philadelphia : Lippincott/Williams &amp; Wilkins, 2002.</t>
        </is>
      </c>
      <c r="M366" t="inlineStr">
        <is>
          <t>2002</t>
        </is>
      </c>
      <c r="O366" t="inlineStr">
        <is>
          <t>eng</t>
        </is>
      </c>
      <c r="P366" t="inlineStr">
        <is>
          <t>pau</t>
        </is>
      </c>
      <c r="R366" t="inlineStr">
        <is>
          <t xml:space="preserve">QV </t>
        </is>
      </c>
      <c r="S366" t="n">
        <v>0</v>
      </c>
      <c r="T366" t="n">
        <v>0</v>
      </c>
      <c r="U366" t="inlineStr">
        <is>
          <t>2006-11-14</t>
        </is>
      </c>
      <c r="V366" t="inlineStr">
        <is>
          <t>2006-11-14</t>
        </is>
      </c>
      <c r="W366" t="inlineStr">
        <is>
          <t>2006-10-06</t>
        </is>
      </c>
      <c r="X366" t="inlineStr">
        <is>
          <t>2006-10-06</t>
        </is>
      </c>
      <c r="Y366" t="n">
        <v>182</v>
      </c>
      <c r="Z366" t="n">
        <v>121</v>
      </c>
      <c r="AA366" t="n">
        <v>499</v>
      </c>
      <c r="AB366" t="n">
        <v>1</v>
      </c>
      <c r="AC366" t="n">
        <v>5</v>
      </c>
      <c r="AD366" t="n">
        <v>3</v>
      </c>
      <c r="AE366" t="n">
        <v>22</v>
      </c>
      <c r="AF366" t="n">
        <v>0</v>
      </c>
      <c r="AG366" t="n">
        <v>6</v>
      </c>
      <c r="AH366" t="n">
        <v>2</v>
      </c>
      <c r="AI366" t="n">
        <v>7</v>
      </c>
      <c r="AJ366" t="n">
        <v>1</v>
      </c>
      <c r="AK366" t="n">
        <v>6</v>
      </c>
      <c r="AL366" t="n">
        <v>0</v>
      </c>
      <c r="AM366" t="n">
        <v>4</v>
      </c>
      <c r="AN366" t="n">
        <v>0</v>
      </c>
      <c r="AO366" t="n">
        <v>1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HYPERLINK("https://creighton-primo.hosted.exlibrisgroup.com/primo-explore/search?tab=default_tab&amp;search_scope=EVERYTHING&amp;vid=01CRU&amp;lang=en_US&amp;offset=0&amp;query=any,contains,991000551529702656","Catalog Record")</f>
        <v/>
      </c>
      <c r="AT366">
        <f>HYPERLINK("http://www.worldcat.org/oclc/47659400","WorldCat Record")</f>
        <v/>
      </c>
    </row>
    <row r="367">
      <c r="A367" t="inlineStr">
        <is>
          <t>No</t>
        </is>
      </c>
      <c r="B367" t="inlineStr">
        <is>
          <t>QV 77 P464p 1991</t>
        </is>
      </c>
      <c r="C367" t="inlineStr">
        <is>
          <t>0                      QV 0077000P  464p        1991</t>
        </is>
      </c>
      <c r="D367" t="inlineStr">
        <is>
          <t>Psychotropic drug handbook / Paul J. Perry, Bruce Alexander, Barry I. Liskow.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Yes</t>
        </is>
      </c>
      <c r="J367" t="inlineStr">
        <is>
          <t>0</t>
        </is>
      </c>
      <c r="K367" t="inlineStr">
        <is>
          <t>Perry, Paul J.</t>
        </is>
      </c>
      <c r="L367" t="inlineStr">
        <is>
          <t>Cincinnati : H. Whitney Books, c1991.</t>
        </is>
      </c>
      <c r="M367" t="inlineStr">
        <is>
          <t>1991</t>
        </is>
      </c>
      <c r="N367" t="inlineStr">
        <is>
          <t>6th ed.</t>
        </is>
      </c>
      <c r="O367" t="inlineStr">
        <is>
          <t>eng</t>
        </is>
      </c>
      <c r="P367" t="inlineStr">
        <is>
          <t>ohu</t>
        </is>
      </c>
      <c r="R367" t="inlineStr">
        <is>
          <t xml:space="preserve">QV </t>
        </is>
      </c>
      <c r="S367" t="n">
        <v>7</v>
      </c>
      <c r="T367" t="n">
        <v>7</v>
      </c>
      <c r="U367" t="inlineStr">
        <is>
          <t>1994-11-17</t>
        </is>
      </c>
      <c r="V367" t="inlineStr">
        <is>
          <t>1994-11-17</t>
        </is>
      </c>
      <c r="W367" t="inlineStr">
        <is>
          <t>1992-01-10</t>
        </is>
      </c>
      <c r="X367" t="inlineStr">
        <is>
          <t>1992-01-10</t>
        </is>
      </c>
      <c r="Y367" t="n">
        <v>32</v>
      </c>
      <c r="Z367" t="n">
        <v>26</v>
      </c>
      <c r="AA367" t="n">
        <v>189</v>
      </c>
      <c r="AB367" t="n">
        <v>1</v>
      </c>
      <c r="AC367" t="n">
        <v>2</v>
      </c>
      <c r="AD367" t="n">
        <v>1</v>
      </c>
      <c r="AE367" t="n">
        <v>6</v>
      </c>
      <c r="AF367" t="n">
        <v>1</v>
      </c>
      <c r="AG367" t="n">
        <v>4</v>
      </c>
      <c r="AH367" t="n">
        <v>0</v>
      </c>
      <c r="AI367" t="n">
        <v>1</v>
      </c>
      <c r="AJ367" t="n">
        <v>0</v>
      </c>
      <c r="AK367" t="n">
        <v>1</v>
      </c>
      <c r="AL367" t="n">
        <v>0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HYPERLINK("http://catalog.hathitrust.org/Record/002613566","HathiTrust Record")</f>
        <v/>
      </c>
      <c r="AS367">
        <f>HYPERLINK("https://creighton-primo.hosted.exlibrisgroup.com/primo-explore/search?tab=default_tab&amp;search_scope=EVERYTHING&amp;vid=01CRU&amp;lang=en_US&amp;offset=0&amp;query=any,contains,991001026729702656","Catalog Record")</f>
        <v/>
      </c>
      <c r="AT367">
        <f>HYPERLINK("http://www.worldcat.org/oclc/19930415","WorldCat Record")</f>
        <v/>
      </c>
    </row>
    <row r="368">
      <c r="A368" t="inlineStr">
        <is>
          <t>No</t>
        </is>
      </c>
      <c r="B368" t="inlineStr">
        <is>
          <t>QV 77 P671p 1992</t>
        </is>
      </c>
      <c r="C368" t="inlineStr">
        <is>
          <t>0                      QV 0077000P  671p        1992</t>
        </is>
      </c>
      <c r="D368" t="inlineStr">
        <is>
          <t>Clinical primer of psychopharmacology : a practical guide / Donald M. Pirodsky, Jerry S. Cohn.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Pirodsky, Donald M.</t>
        </is>
      </c>
      <c r="L368" t="inlineStr">
        <is>
          <t>New York : McGraw-Hill, Health Professions Division, c1992.</t>
        </is>
      </c>
      <c r="M368" t="inlineStr">
        <is>
          <t>1992</t>
        </is>
      </c>
      <c r="N368" t="inlineStr">
        <is>
          <t>2nd ed.</t>
        </is>
      </c>
      <c r="O368" t="inlineStr">
        <is>
          <t>eng</t>
        </is>
      </c>
      <c r="P368" t="inlineStr">
        <is>
          <t>xxu</t>
        </is>
      </c>
      <c r="R368" t="inlineStr">
        <is>
          <t xml:space="preserve">QV </t>
        </is>
      </c>
      <c r="S368" t="n">
        <v>11</v>
      </c>
      <c r="T368" t="n">
        <v>11</v>
      </c>
      <c r="U368" t="inlineStr">
        <is>
          <t>1996-09-05</t>
        </is>
      </c>
      <c r="V368" t="inlineStr">
        <is>
          <t>1996-09-05</t>
        </is>
      </c>
      <c r="W368" t="inlineStr">
        <is>
          <t>1992-12-10</t>
        </is>
      </c>
      <c r="X368" t="inlineStr">
        <is>
          <t>1992-12-10</t>
        </is>
      </c>
      <c r="Y368" t="n">
        <v>38</v>
      </c>
      <c r="Z368" t="n">
        <v>33</v>
      </c>
      <c r="AA368" t="n">
        <v>72</v>
      </c>
      <c r="AB368" t="n">
        <v>1</v>
      </c>
      <c r="AC368" t="n">
        <v>1</v>
      </c>
      <c r="AD368" t="n">
        <v>1</v>
      </c>
      <c r="AE368" t="n">
        <v>2</v>
      </c>
      <c r="AF368" t="n">
        <v>1</v>
      </c>
      <c r="AG368" t="n">
        <v>2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HYPERLINK("http://catalog.hathitrust.org/Record/002550398","HathiTrust Record")</f>
        <v/>
      </c>
      <c r="AS368">
        <f>HYPERLINK("https://creighton-primo.hosted.exlibrisgroup.com/primo-explore/search?tab=default_tab&amp;search_scope=EVERYTHING&amp;vid=01CRU&amp;lang=en_US&amp;offset=0&amp;query=any,contains,991001350689702656","Catalog Record")</f>
        <v/>
      </c>
      <c r="AT368">
        <f>HYPERLINK("http://www.worldcat.org/oclc/25591456","WorldCat Record")</f>
        <v/>
      </c>
    </row>
    <row r="369">
      <c r="A369" t="inlineStr">
        <is>
          <t>No</t>
        </is>
      </c>
      <c r="B369" t="inlineStr">
        <is>
          <t>QV 77 P768p 1986</t>
        </is>
      </c>
      <c r="C369" t="inlineStr">
        <is>
          <t>0                      QV 0077000P  768p        1986</t>
        </is>
      </c>
      <c r="D369" t="inlineStr">
        <is>
          <t>A primer of human behavioral pharmacology / Alan Poling.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Poling, Alan D.</t>
        </is>
      </c>
      <c r="L369" t="inlineStr">
        <is>
          <t>New York : Plenum Press, c1986.</t>
        </is>
      </c>
      <c r="M369" t="inlineStr">
        <is>
          <t>1986</t>
        </is>
      </c>
      <c r="O369" t="inlineStr">
        <is>
          <t>eng</t>
        </is>
      </c>
      <c r="P369" t="inlineStr">
        <is>
          <t>xxu</t>
        </is>
      </c>
      <c r="Q369" t="inlineStr">
        <is>
          <t>Applied clinical psychology</t>
        </is>
      </c>
      <c r="R369" t="inlineStr">
        <is>
          <t xml:space="preserve">QV </t>
        </is>
      </c>
      <c r="S369" t="n">
        <v>3</v>
      </c>
      <c r="T369" t="n">
        <v>3</v>
      </c>
      <c r="U369" t="inlineStr">
        <is>
          <t>1996-05-01</t>
        </is>
      </c>
      <c r="V369" t="inlineStr">
        <is>
          <t>1996-05-01</t>
        </is>
      </c>
      <c r="W369" t="inlineStr">
        <is>
          <t>1988-02-08</t>
        </is>
      </c>
      <c r="X369" t="inlineStr">
        <is>
          <t>1988-02-08</t>
        </is>
      </c>
      <c r="Y369" t="n">
        <v>259</v>
      </c>
      <c r="Z369" t="n">
        <v>216</v>
      </c>
      <c r="AA369" t="n">
        <v>233</v>
      </c>
      <c r="AB369" t="n">
        <v>1</v>
      </c>
      <c r="AC369" t="n">
        <v>1</v>
      </c>
      <c r="AD369" t="n">
        <v>11</v>
      </c>
      <c r="AE369" t="n">
        <v>11</v>
      </c>
      <c r="AF369" t="n">
        <v>3</v>
      </c>
      <c r="AG369" t="n">
        <v>3</v>
      </c>
      <c r="AH369" t="n">
        <v>3</v>
      </c>
      <c r="AI369" t="n">
        <v>3</v>
      </c>
      <c r="AJ369" t="n">
        <v>10</v>
      </c>
      <c r="AK369" t="n">
        <v>10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HYPERLINK("http://catalog.hathitrust.org/Record/000556493","HathiTrust Record")</f>
        <v/>
      </c>
      <c r="AS369">
        <f>HYPERLINK("https://creighton-primo.hosted.exlibrisgroup.com/primo-explore/search?tab=default_tab&amp;search_scope=EVERYTHING&amp;vid=01CRU&amp;lang=en_US&amp;offset=0&amp;query=any,contains,991000957919702656","Catalog Record")</f>
        <v/>
      </c>
      <c r="AT369">
        <f>HYPERLINK("http://www.worldcat.org/oclc/13822758","WorldCat Record")</f>
        <v/>
      </c>
    </row>
    <row r="370">
      <c r="A370" t="inlineStr">
        <is>
          <t>No</t>
        </is>
      </c>
      <c r="B370" t="inlineStr">
        <is>
          <t>QV 77 P959 1978</t>
        </is>
      </c>
      <c r="C370" t="inlineStr">
        <is>
          <t>0                      QV 0077000P  959         1978</t>
        </is>
      </c>
      <c r="D370" t="inlineStr">
        <is>
          <t>Principles of psychopharmacology / editors, William G. Clark, Joseph del Giudice ; contributors, Gary C. Aden ... [et al.].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L370" t="inlineStr">
        <is>
          <t>New York : Academic Press, 1978.</t>
        </is>
      </c>
      <c r="M370" t="inlineStr">
        <is>
          <t>1978</t>
        </is>
      </c>
      <c r="N370" t="inlineStr">
        <is>
          <t>2d ed.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QV </t>
        </is>
      </c>
      <c r="S370" t="n">
        <v>6</v>
      </c>
      <c r="T370" t="n">
        <v>6</v>
      </c>
      <c r="U370" t="inlineStr">
        <is>
          <t>1996-11-18</t>
        </is>
      </c>
      <c r="V370" t="inlineStr">
        <is>
          <t>1996-11-18</t>
        </is>
      </c>
      <c r="W370" t="inlineStr">
        <is>
          <t>1988-02-08</t>
        </is>
      </c>
      <c r="X370" t="inlineStr">
        <is>
          <t>1988-02-08</t>
        </is>
      </c>
      <c r="Y370" t="n">
        <v>278</v>
      </c>
      <c r="Z370" t="n">
        <v>193</v>
      </c>
      <c r="AA370" t="n">
        <v>200</v>
      </c>
      <c r="AB370" t="n">
        <v>2</v>
      </c>
      <c r="AC370" t="n">
        <v>2</v>
      </c>
      <c r="AD370" t="n">
        <v>8</v>
      </c>
      <c r="AE370" t="n">
        <v>8</v>
      </c>
      <c r="AF370" t="n">
        <v>2</v>
      </c>
      <c r="AG370" t="n">
        <v>2</v>
      </c>
      <c r="AH370" t="n">
        <v>2</v>
      </c>
      <c r="AI370" t="n">
        <v>2</v>
      </c>
      <c r="AJ370" t="n">
        <v>6</v>
      </c>
      <c r="AK370" t="n">
        <v>6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HYPERLINK("http://catalog.hathitrust.org/Record/000135552","HathiTrust Record")</f>
        <v/>
      </c>
      <c r="AS370">
        <f>HYPERLINK("https://creighton-primo.hosted.exlibrisgroup.com/primo-explore/search?tab=default_tab&amp;search_scope=EVERYTHING&amp;vid=01CRU&amp;lang=en_US&amp;offset=0&amp;query=any,contains,991000957969702656","Catalog Record")</f>
        <v/>
      </c>
      <c r="AT370">
        <f>HYPERLINK("http://www.worldcat.org/oclc/3844717","WorldCat Record")</f>
        <v/>
      </c>
    </row>
    <row r="371">
      <c r="A371" t="inlineStr">
        <is>
          <t>No</t>
        </is>
      </c>
      <c r="B371" t="inlineStr">
        <is>
          <t>QV 77 P972105 1996</t>
        </is>
      </c>
      <c r="C371" t="inlineStr">
        <is>
          <t>0                      QV 0077000P  972105      1996</t>
        </is>
      </c>
      <c r="D371" t="inlineStr">
        <is>
          <t>Psychopharmacology and women : sex, gender, and hormones / edited by Margaret F. Jensvold, Uriel Halbreich, Jean A. Hamilton.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Washington, DC : American Psychiatric Press, c1996.</t>
        </is>
      </c>
      <c r="M371" t="inlineStr">
        <is>
          <t>1996</t>
        </is>
      </c>
      <c r="O371" t="inlineStr">
        <is>
          <t>eng</t>
        </is>
      </c>
      <c r="P371" t="inlineStr">
        <is>
          <t>dcu</t>
        </is>
      </c>
      <c r="R371" t="inlineStr">
        <is>
          <t xml:space="preserve">QV </t>
        </is>
      </c>
      <c r="S371" t="n">
        <v>1</v>
      </c>
      <c r="T371" t="n">
        <v>1</v>
      </c>
      <c r="U371" t="inlineStr">
        <is>
          <t>1997-03-06</t>
        </is>
      </c>
      <c r="V371" t="inlineStr">
        <is>
          <t>1997-03-06</t>
        </is>
      </c>
      <c r="W371" t="inlineStr">
        <is>
          <t>1997-02-18</t>
        </is>
      </c>
      <c r="X371" t="inlineStr">
        <is>
          <t>1997-02-18</t>
        </is>
      </c>
      <c r="Y371" t="n">
        <v>222</v>
      </c>
      <c r="Z371" t="n">
        <v>196</v>
      </c>
      <c r="AA371" t="n">
        <v>203</v>
      </c>
      <c r="AB371" t="n">
        <v>1</v>
      </c>
      <c r="AC371" t="n">
        <v>1</v>
      </c>
      <c r="AD371" t="n">
        <v>5</v>
      </c>
      <c r="AE371" t="n">
        <v>5</v>
      </c>
      <c r="AF371" t="n">
        <v>2</v>
      </c>
      <c r="AG371" t="n">
        <v>2</v>
      </c>
      <c r="AH371" t="n">
        <v>1</v>
      </c>
      <c r="AI371" t="n">
        <v>1</v>
      </c>
      <c r="AJ371" t="n">
        <v>4</v>
      </c>
      <c r="AK371" t="n">
        <v>4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HYPERLINK("http://catalog.hathitrust.org/Record/003062356","HathiTrust Record")</f>
        <v/>
      </c>
      <c r="AS371">
        <f>HYPERLINK("https://creighton-primo.hosted.exlibrisgroup.com/primo-explore/search?tab=default_tab&amp;search_scope=EVERYTHING&amp;vid=01CRU&amp;lang=en_US&amp;offset=0&amp;query=any,contains,991001552669702656","Catalog Record")</f>
        <v/>
      </c>
      <c r="AT371">
        <f>HYPERLINK("http://www.worldcat.org/oclc/33440562","WorldCat Record")</f>
        <v/>
      </c>
    </row>
    <row r="372">
      <c r="A372" t="inlineStr">
        <is>
          <t>No</t>
        </is>
      </c>
      <c r="B372" t="inlineStr">
        <is>
          <t>QV 77 P9733 1987</t>
        </is>
      </c>
      <c r="C372" t="inlineStr">
        <is>
          <t>0                      QV 0077000P  9733        1987</t>
        </is>
      </c>
      <c r="D372" t="inlineStr">
        <is>
      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Raven Press, c1987.</t>
        </is>
      </c>
      <c r="M372" t="inlineStr">
        <is>
          <t>1987</t>
        </is>
      </c>
      <c r="O372" t="inlineStr">
        <is>
          <t>eng</t>
        </is>
      </c>
      <c r="P372" t="inlineStr">
        <is>
          <t>xxu</t>
        </is>
      </c>
      <c r="R372" t="inlineStr">
        <is>
          <t xml:space="preserve">QV </t>
        </is>
      </c>
      <c r="S372" t="n">
        <v>23</v>
      </c>
      <c r="T372" t="n">
        <v>23</v>
      </c>
      <c r="U372" t="inlineStr">
        <is>
          <t>1991-04-04</t>
        </is>
      </c>
      <c r="V372" t="inlineStr">
        <is>
          <t>1991-04-04</t>
        </is>
      </c>
      <c r="W372" t="inlineStr">
        <is>
          <t>1988-02-12</t>
        </is>
      </c>
      <c r="X372" t="inlineStr">
        <is>
          <t>1988-02-12</t>
        </is>
      </c>
      <c r="Y372" t="n">
        <v>329</v>
      </c>
      <c r="Z372" t="n">
        <v>237</v>
      </c>
      <c r="AA372" t="n">
        <v>244</v>
      </c>
      <c r="AB372" t="n">
        <v>2</v>
      </c>
      <c r="AC372" t="n">
        <v>2</v>
      </c>
      <c r="AD372" t="n">
        <v>13</v>
      </c>
      <c r="AE372" t="n">
        <v>14</v>
      </c>
      <c r="AF372" t="n">
        <v>4</v>
      </c>
      <c r="AG372" t="n">
        <v>5</v>
      </c>
      <c r="AH372" t="n">
        <v>5</v>
      </c>
      <c r="AI372" t="n">
        <v>5</v>
      </c>
      <c r="AJ372" t="n">
        <v>6</v>
      </c>
      <c r="AK372" t="n">
        <v>7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HYPERLINK("https://creighton-primo.hosted.exlibrisgroup.com/primo-explore/search?tab=default_tab&amp;search_scope=EVERYTHING&amp;vid=01CRU&amp;lang=en_US&amp;offset=0&amp;query=any,contains,991001537899702656","Catalog Record")</f>
        <v/>
      </c>
      <c r="AT372">
        <f>HYPERLINK("http://www.worldcat.org/oclc/15630691","WorldCat Record")</f>
        <v/>
      </c>
    </row>
    <row r="373">
      <c r="A373" t="inlineStr">
        <is>
          <t>No</t>
        </is>
      </c>
      <c r="B373" t="inlineStr">
        <is>
          <t>QV 77 R264d 1990</t>
        </is>
      </c>
      <c r="C373" t="inlineStr">
        <is>
          <t>0                      QV 0077000R  264d        1990</t>
        </is>
      </c>
      <c r="D373" t="inlineStr">
        <is>
          <t>Drugs, society &amp; human behavior / Oakley Ray, Charles Ksir.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Yes</t>
        </is>
      </c>
      <c r="J373" t="inlineStr">
        <is>
          <t>0</t>
        </is>
      </c>
      <c r="K373" t="inlineStr">
        <is>
          <t>Ray, Oakley Stern.</t>
        </is>
      </c>
      <c r="L373" t="inlineStr">
        <is>
          <t>St. Louis : Times Mirror/Mosby College Pub., c1990.</t>
        </is>
      </c>
      <c r="M373" t="inlineStr">
        <is>
          <t>1990</t>
        </is>
      </c>
      <c r="N373" t="inlineStr">
        <is>
          <t>5th ed.</t>
        </is>
      </c>
      <c r="O373" t="inlineStr">
        <is>
          <t>eng</t>
        </is>
      </c>
      <c r="P373" t="inlineStr">
        <is>
          <t>mou</t>
        </is>
      </c>
      <c r="R373" t="inlineStr">
        <is>
          <t xml:space="preserve">QV </t>
        </is>
      </c>
      <c r="S373" t="n">
        <v>15</v>
      </c>
      <c r="T373" t="n">
        <v>15</v>
      </c>
      <c r="U373" t="inlineStr">
        <is>
          <t>2005-08-10</t>
        </is>
      </c>
      <c r="V373" t="inlineStr">
        <is>
          <t>2005-08-10</t>
        </is>
      </c>
      <c r="W373" t="inlineStr">
        <is>
          <t>1990-01-19</t>
        </is>
      </c>
      <c r="X373" t="inlineStr">
        <is>
          <t>1990-01-19</t>
        </is>
      </c>
      <c r="Y373" t="n">
        <v>216</v>
      </c>
      <c r="Z373" t="n">
        <v>185</v>
      </c>
      <c r="AA373" t="n">
        <v>1409</v>
      </c>
      <c r="AB373" t="n">
        <v>1</v>
      </c>
      <c r="AC373" t="n">
        <v>12</v>
      </c>
      <c r="AD373" t="n">
        <v>5</v>
      </c>
      <c r="AE373" t="n">
        <v>49</v>
      </c>
      <c r="AF373" t="n">
        <v>2</v>
      </c>
      <c r="AG373" t="n">
        <v>22</v>
      </c>
      <c r="AH373" t="n">
        <v>0</v>
      </c>
      <c r="AI373" t="n">
        <v>9</v>
      </c>
      <c r="AJ373" t="n">
        <v>3</v>
      </c>
      <c r="AK373" t="n">
        <v>20</v>
      </c>
      <c r="AL373" t="n">
        <v>0</v>
      </c>
      <c r="AM373" t="n">
        <v>9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HYPERLINK("http://catalog.hathitrust.org/Record/001944436","HathiTrust Record")</f>
        <v/>
      </c>
      <c r="AS373">
        <f>HYPERLINK("https://creighton-primo.hosted.exlibrisgroup.com/primo-explore/search?tab=default_tab&amp;search_scope=EVERYTHING&amp;vid=01CRU&amp;lang=en_US&amp;offset=0&amp;query=any,contains,991001356379702656","Catalog Record")</f>
        <v/>
      </c>
      <c r="AT373">
        <f>HYPERLINK("http://www.worldcat.org/oclc/20261584","WorldCat Record")</f>
        <v/>
      </c>
    </row>
    <row r="374">
      <c r="A374" t="inlineStr">
        <is>
          <t>No</t>
        </is>
      </c>
      <c r="B374" t="inlineStr">
        <is>
          <t>QV 77 S312m 1997</t>
        </is>
      </c>
      <c r="C374" t="inlineStr">
        <is>
          <t>0                      QV 0077000S  312m        1997</t>
        </is>
      </c>
      <c r="D374" t="inlineStr">
        <is>
          <t>Manual of clinical psychopharmacology / Alan F. Schatzberg, Jonathan O. Cole, Charles DeBattista.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Yes</t>
        </is>
      </c>
      <c r="J374" t="inlineStr">
        <is>
          <t>1</t>
        </is>
      </c>
      <c r="K374" t="inlineStr">
        <is>
          <t>Schatzberg, Alan F.</t>
        </is>
      </c>
      <c r="L374" t="inlineStr">
        <is>
          <t>Washington, DC : American Psychiatric Press, c1997.</t>
        </is>
      </c>
      <c r="M374" t="inlineStr">
        <is>
          <t>1997</t>
        </is>
      </c>
      <c r="N374" t="inlineStr">
        <is>
          <t>3rd ed.</t>
        </is>
      </c>
      <c r="O374" t="inlineStr">
        <is>
          <t>eng</t>
        </is>
      </c>
      <c r="P374" t="inlineStr">
        <is>
          <t>dcu</t>
        </is>
      </c>
      <c r="R374" t="inlineStr">
        <is>
          <t xml:space="preserve">QV </t>
        </is>
      </c>
      <c r="S374" t="n">
        <v>6</v>
      </c>
      <c r="T374" t="n">
        <v>6</v>
      </c>
      <c r="U374" t="inlineStr">
        <is>
          <t>2004-04-19</t>
        </is>
      </c>
      <c r="V374" t="inlineStr">
        <is>
          <t>2004-04-19</t>
        </is>
      </c>
      <c r="W374" t="inlineStr">
        <is>
          <t>1998-02-23</t>
        </is>
      </c>
      <c r="X374" t="inlineStr">
        <is>
          <t>1998-02-23</t>
        </is>
      </c>
      <c r="Y374" t="n">
        <v>141</v>
      </c>
      <c r="Z374" t="n">
        <v>119</v>
      </c>
      <c r="AA374" t="n">
        <v>602</v>
      </c>
      <c r="AB374" t="n">
        <v>1</v>
      </c>
      <c r="AC374" t="n">
        <v>2</v>
      </c>
      <c r="AD374" t="n">
        <v>2</v>
      </c>
      <c r="AE374" t="n">
        <v>28</v>
      </c>
      <c r="AF374" t="n">
        <v>1</v>
      </c>
      <c r="AG374" t="n">
        <v>12</v>
      </c>
      <c r="AH374" t="n">
        <v>0</v>
      </c>
      <c r="AI374" t="n">
        <v>5</v>
      </c>
      <c r="AJ374" t="n">
        <v>1</v>
      </c>
      <c r="AK374" t="n">
        <v>16</v>
      </c>
      <c r="AL374" t="n">
        <v>0</v>
      </c>
      <c r="AM374" t="n">
        <v>1</v>
      </c>
      <c r="AN374" t="n">
        <v>0</v>
      </c>
      <c r="AO374" t="n">
        <v>1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HYPERLINK("https://creighton-primo.hosted.exlibrisgroup.com/primo-explore/search?tab=default_tab&amp;search_scope=EVERYTHING&amp;vid=01CRU&amp;lang=en_US&amp;offset=0&amp;query=any,contains,991001263119702656","Catalog Record")</f>
        <v/>
      </c>
      <c r="AT374">
        <f>HYPERLINK("http://www.worldcat.org/oclc/34990004","WorldCat Record")</f>
        <v/>
      </c>
    </row>
    <row r="375">
      <c r="A375" t="inlineStr">
        <is>
          <t>No</t>
        </is>
      </c>
      <c r="B375" t="inlineStr">
        <is>
          <t>QV77 S312m 2003</t>
        </is>
      </c>
      <c r="C375" t="inlineStr">
        <is>
          <t>0                      QV 0077000S  312m        2003</t>
        </is>
      </c>
      <c r="D375" t="inlineStr">
        <is>
          <t>Manual of clinical psychopharmacology / Alan F. Schatzberg, Jonathan O. Cole, Charles DeBattista.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1</t>
        </is>
      </c>
      <c r="K375" t="inlineStr">
        <is>
          <t>Schatzberg, Alan F.</t>
        </is>
      </c>
      <c r="L375" t="inlineStr">
        <is>
          <t>Washington, D.C. : American Psychiatric Pub., c2003.</t>
        </is>
      </c>
      <c r="M375" t="inlineStr">
        <is>
          <t>2003</t>
        </is>
      </c>
      <c r="N375" t="inlineStr">
        <is>
          <t>4th ed.</t>
        </is>
      </c>
      <c r="O375" t="inlineStr">
        <is>
          <t>eng</t>
        </is>
      </c>
      <c r="P375" t="inlineStr">
        <is>
          <t>dcu</t>
        </is>
      </c>
      <c r="R375" t="inlineStr">
        <is>
          <t xml:space="preserve">QV </t>
        </is>
      </c>
      <c r="S375" t="n">
        <v>2</v>
      </c>
      <c r="T375" t="n">
        <v>2</v>
      </c>
      <c r="U375" t="inlineStr">
        <is>
          <t>2004-07-25</t>
        </is>
      </c>
      <c r="V375" t="inlineStr">
        <is>
          <t>2004-07-25</t>
        </is>
      </c>
      <c r="W375" t="inlineStr">
        <is>
          <t>2004-04-01</t>
        </is>
      </c>
      <c r="X375" t="inlineStr">
        <is>
          <t>2004-04-01</t>
        </is>
      </c>
      <c r="Y375" t="n">
        <v>195</v>
      </c>
      <c r="Z375" t="n">
        <v>163</v>
      </c>
      <c r="AA375" t="n">
        <v>602</v>
      </c>
      <c r="AB375" t="n">
        <v>1</v>
      </c>
      <c r="AC375" t="n">
        <v>2</v>
      </c>
      <c r="AD375" t="n">
        <v>8</v>
      </c>
      <c r="AE375" t="n">
        <v>28</v>
      </c>
      <c r="AF375" t="n">
        <v>4</v>
      </c>
      <c r="AG375" t="n">
        <v>12</v>
      </c>
      <c r="AH375" t="n">
        <v>0</v>
      </c>
      <c r="AI375" t="n">
        <v>5</v>
      </c>
      <c r="AJ375" t="n">
        <v>6</v>
      </c>
      <c r="AK375" t="n">
        <v>16</v>
      </c>
      <c r="AL375" t="n">
        <v>0</v>
      </c>
      <c r="AM375" t="n">
        <v>1</v>
      </c>
      <c r="AN375" t="n">
        <v>0</v>
      </c>
      <c r="AO375" t="n">
        <v>1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HYPERLINK("http://catalog.hathitrust.org/Record/004295665","HathiTrust Record")</f>
        <v/>
      </c>
      <c r="AS375">
        <f>HYPERLINK("https://creighton-primo.hosted.exlibrisgroup.com/primo-explore/search?tab=default_tab&amp;search_scope=EVERYTHING&amp;vid=01CRU&amp;lang=en_US&amp;offset=0&amp;query=any,contains,991000369099702656","Catalog Record")</f>
        <v/>
      </c>
      <c r="AT375">
        <f>HYPERLINK("http://www.worldcat.org/oclc/49512675","WorldCat Record")</f>
        <v/>
      </c>
    </row>
    <row r="376">
      <c r="A376" t="inlineStr">
        <is>
          <t>No</t>
        </is>
      </c>
      <c r="B376" t="inlineStr">
        <is>
          <t>QV77 S312m 2005</t>
        </is>
      </c>
      <c r="C376" t="inlineStr">
        <is>
          <t>0                      QV 0077000S  312m        2005</t>
        </is>
      </c>
      <c r="D376" t="inlineStr">
        <is>
          <t>Manual of clinical psychopharmacology / Alan F. Schatzberg, Jonathan O. Cole, Charles DeBattista.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Yes</t>
        </is>
      </c>
      <c r="J376" t="inlineStr">
        <is>
          <t>1</t>
        </is>
      </c>
      <c r="K376" t="inlineStr">
        <is>
          <t>Schatzberg, Alan F.</t>
        </is>
      </c>
      <c r="L376" t="inlineStr">
        <is>
          <t>Washington, DC : American Psychiatric Pub., c2005.</t>
        </is>
      </c>
      <c r="M376" t="inlineStr">
        <is>
          <t>2005</t>
        </is>
      </c>
      <c r="N376" t="inlineStr">
        <is>
          <t>5th ed.</t>
        </is>
      </c>
      <c r="O376" t="inlineStr">
        <is>
          <t>eng</t>
        </is>
      </c>
      <c r="P376" t="inlineStr">
        <is>
          <t>dcu</t>
        </is>
      </c>
      <c r="R376" t="inlineStr">
        <is>
          <t xml:space="preserve">QV </t>
        </is>
      </c>
      <c r="S376" t="n">
        <v>0</v>
      </c>
      <c r="T376" t="n">
        <v>0</v>
      </c>
      <c r="U376" t="inlineStr">
        <is>
          <t>2007-04-04</t>
        </is>
      </c>
      <c r="V376" t="inlineStr">
        <is>
          <t>2007-04-04</t>
        </is>
      </c>
      <c r="W376" t="inlineStr">
        <is>
          <t>2006-02-09</t>
        </is>
      </c>
      <c r="X376" t="inlineStr">
        <is>
          <t>2006-02-09</t>
        </is>
      </c>
      <c r="Y376" t="n">
        <v>135</v>
      </c>
      <c r="Z376" t="n">
        <v>108</v>
      </c>
      <c r="AA376" t="n">
        <v>602</v>
      </c>
      <c r="AB376" t="n">
        <v>1</v>
      </c>
      <c r="AC376" t="n">
        <v>2</v>
      </c>
      <c r="AD376" t="n">
        <v>4</v>
      </c>
      <c r="AE376" t="n">
        <v>28</v>
      </c>
      <c r="AF376" t="n">
        <v>2</v>
      </c>
      <c r="AG376" t="n">
        <v>12</v>
      </c>
      <c r="AH376" t="n">
        <v>1</v>
      </c>
      <c r="AI376" t="n">
        <v>5</v>
      </c>
      <c r="AJ376" t="n">
        <v>2</v>
      </c>
      <c r="AK376" t="n">
        <v>16</v>
      </c>
      <c r="AL376" t="n">
        <v>0</v>
      </c>
      <c r="AM376" t="n">
        <v>1</v>
      </c>
      <c r="AN376" t="n">
        <v>0</v>
      </c>
      <c r="AO376" t="n">
        <v>1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HYPERLINK("http://catalog.hathitrust.org/Record/005029798","HathiTrust Record")</f>
        <v/>
      </c>
      <c r="AS376">
        <f>HYPERLINK("https://creighton-primo.hosted.exlibrisgroup.com/primo-explore/search?tab=default_tab&amp;search_scope=EVERYTHING&amp;vid=01CRU&amp;lang=en_US&amp;offset=0&amp;query=any,contains,991000463229702656","Catalog Record")</f>
        <v/>
      </c>
      <c r="AT376">
        <f>HYPERLINK("http://www.worldcat.org/oclc/57514997","WorldCat Record")</f>
        <v/>
      </c>
    </row>
    <row r="377">
      <c r="A377" t="inlineStr">
        <is>
          <t>No</t>
        </is>
      </c>
      <c r="B377" t="inlineStr">
        <is>
          <t>QV 77 S979d 1983</t>
        </is>
      </c>
      <c r="C377" t="inlineStr">
        <is>
          <t>0                      QV 0077000S  979d        1983</t>
        </is>
      </c>
      <c r="D377" t="inlineStr">
        <is>
          <t>Drugs and therapy : a handbook of psychotropic drugs / Alvin K. Swonger, Larry L. Constantine.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Swonger, Alvin K.</t>
        </is>
      </c>
      <c r="L377" t="inlineStr">
        <is>
          <t>Boston : Little, Brown, c1983.</t>
        </is>
      </c>
      <c r="M377" t="inlineStr">
        <is>
          <t>1983</t>
        </is>
      </c>
      <c r="N377" t="inlineStr">
        <is>
          <t>2nd ed.</t>
        </is>
      </c>
      <c r="O377" t="inlineStr">
        <is>
          <t>eng</t>
        </is>
      </c>
      <c r="P377" t="inlineStr">
        <is>
          <t>mau</t>
        </is>
      </c>
      <c r="R377" t="inlineStr">
        <is>
          <t xml:space="preserve">QV </t>
        </is>
      </c>
      <c r="S377" t="n">
        <v>15</v>
      </c>
      <c r="T377" t="n">
        <v>15</v>
      </c>
      <c r="U377" t="inlineStr">
        <is>
          <t>1998-10-26</t>
        </is>
      </c>
      <c r="V377" t="inlineStr">
        <is>
          <t>1998-10-26</t>
        </is>
      </c>
      <c r="W377" t="inlineStr">
        <is>
          <t>1987-08-20</t>
        </is>
      </c>
      <c r="X377" t="inlineStr">
        <is>
          <t>1987-08-20</t>
        </is>
      </c>
      <c r="Y377" t="n">
        <v>151</v>
      </c>
      <c r="Z377" t="n">
        <v>124</v>
      </c>
      <c r="AA377" t="n">
        <v>205</v>
      </c>
      <c r="AB377" t="n">
        <v>1</v>
      </c>
      <c r="AC377" t="n">
        <v>2</v>
      </c>
      <c r="AD377" t="n">
        <v>9</v>
      </c>
      <c r="AE377" t="n">
        <v>12</v>
      </c>
      <c r="AF377" t="n">
        <v>4</v>
      </c>
      <c r="AG377" t="n">
        <v>5</v>
      </c>
      <c r="AH377" t="n">
        <v>2</v>
      </c>
      <c r="AI377" t="n">
        <v>2</v>
      </c>
      <c r="AJ377" t="n">
        <v>6</v>
      </c>
      <c r="AK377" t="n">
        <v>7</v>
      </c>
      <c r="AL377" t="n">
        <v>0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HYPERLINK("http://catalog.hathitrust.org/Record/008513909","HathiTrust Record")</f>
        <v/>
      </c>
      <c r="AS377">
        <f>HYPERLINK("https://creighton-primo.hosted.exlibrisgroup.com/primo-explore/search?tab=default_tab&amp;search_scope=EVERYTHING&amp;vid=01CRU&amp;lang=en_US&amp;offset=0&amp;query=any,contains,991000747989702656","Catalog Record")</f>
        <v/>
      </c>
      <c r="AT377">
        <f>HYPERLINK("http://www.worldcat.org/oclc/9875221","WorldCat Record")</f>
        <v/>
      </c>
    </row>
    <row r="378">
      <c r="A378" t="inlineStr">
        <is>
          <t>No</t>
        </is>
      </c>
      <c r="B378" t="inlineStr">
        <is>
          <t>QV 77 S987c 1973</t>
        </is>
      </c>
      <c r="C378" t="inlineStr">
        <is>
          <t>0                      QV 0077000S  987c        1973</t>
        </is>
      </c>
      <c r="D378" t="inlineStr">
        <is>
          <t>Clinical pharmacology of psychoactive drugs / edited by E.M. Sellers ; general editor, S.L. Lambert.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Toronto : Alcoholism and Drug Addiction Research Foundation : [distributed by Marketing Services, Addiction Research Foundation], 1975.</t>
        </is>
      </c>
      <c r="M378" t="inlineStr">
        <is>
          <t>1975</t>
        </is>
      </c>
      <c r="O378" t="inlineStr">
        <is>
          <t>eng</t>
        </is>
      </c>
      <c r="P378" t="inlineStr">
        <is>
          <t>onc</t>
        </is>
      </c>
      <c r="R378" t="inlineStr">
        <is>
          <t xml:space="preserve">QV </t>
        </is>
      </c>
      <c r="S378" t="n">
        <v>3</v>
      </c>
      <c r="T378" t="n">
        <v>3</v>
      </c>
      <c r="U378" t="inlineStr">
        <is>
          <t>1989-11-22</t>
        </is>
      </c>
      <c r="V378" t="inlineStr">
        <is>
          <t>1989-11-22</t>
        </is>
      </c>
      <c r="W378" t="inlineStr">
        <is>
          <t>1988-03-02</t>
        </is>
      </c>
      <c r="X378" t="inlineStr">
        <is>
          <t>1988-03-02</t>
        </is>
      </c>
      <c r="Y378" t="n">
        <v>101</v>
      </c>
      <c r="Z378" t="n">
        <v>73</v>
      </c>
      <c r="AA378" t="n">
        <v>83</v>
      </c>
      <c r="AB378" t="n">
        <v>1</v>
      </c>
      <c r="AC378" t="n">
        <v>1</v>
      </c>
      <c r="AD378" t="n">
        <v>2</v>
      </c>
      <c r="AE378" t="n">
        <v>2</v>
      </c>
      <c r="AF378" t="n">
        <v>0</v>
      </c>
      <c r="AG378" t="n">
        <v>0</v>
      </c>
      <c r="AH378" t="n">
        <v>1</v>
      </c>
      <c r="AI378" t="n">
        <v>1</v>
      </c>
      <c r="AJ378" t="n">
        <v>1</v>
      </c>
      <c r="AK378" t="n">
        <v>1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HYPERLINK("http://catalog.hathitrust.org/Record/000725100","HathiTrust Record")</f>
        <v/>
      </c>
      <c r="AS378">
        <f>HYPERLINK("https://creighton-primo.hosted.exlibrisgroup.com/primo-explore/search?tab=default_tab&amp;search_scope=EVERYTHING&amp;vid=01CRU&amp;lang=en_US&amp;offset=0&amp;query=any,contains,991000958049702656","Catalog Record")</f>
        <v/>
      </c>
      <c r="AT378">
        <f>HYPERLINK("http://www.worldcat.org/oclc/2425565","WorldCat Record")</f>
        <v/>
      </c>
    </row>
    <row r="379">
      <c r="A379" t="inlineStr">
        <is>
          <t>No</t>
        </is>
      </c>
      <c r="B379" t="inlineStr">
        <is>
          <t>QV 77 W585p 1977</t>
        </is>
      </c>
      <c r="C379" t="inlineStr">
        <is>
          <t>0                      QV 0077000W  585p        1977</t>
        </is>
      </c>
      <c r="D379" t="inlineStr">
        <is>
          <t>Pediatric psychopharmacology : a practical guide to clinical application / James H. White.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White, James Harrison, 1943-</t>
        </is>
      </c>
      <c r="L379" t="inlineStr">
        <is>
          <t>Baltimore : Williams &amp; Wilkins Co., c1977.</t>
        </is>
      </c>
      <c r="M379" t="inlineStr">
        <is>
          <t>1977</t>
        </is>
      </c>
      <c r="O379" t="inlineStr">
        <is>
          <t>eng</t>
        </is>
      </c>
      <c r="P379" t="inlineStr">
        <is>
          <t>mdu</t>
        </is>
      </c>
      <c r="R379" t="inlineStr">
        <is>
          <t xml:space="preserve">QV </t>
        </is>
      </c>
      <c r="S379" t="n">
        <v>4</v>
      </c>
      <c r="T379" t="n">
        <v>4</v>
      </c>
      <c r="U379" t="inlineStr">
        <is>
          <t>2002-04-25</t>
        </is>
      </c>
      <c r="V379" t="inlineStr">
        <is>
          <t>2002-04-25</t>
        </is>
      </c>
      <c r="W379" t="inlineStr">
        <is>
          <t>1988-02-08</t>
        </is>
      </c>
      <c r="X379" t="inlineStr">
        <is>
          <t>1988-02-08</t>
        </is>
      </c>
      <c r="Y379" t="n">
        <v>135</v>
      </c>
      <c r="Z379" t="n">
        <v>103</v>
      </c>
      <c r="AA379" t="n">
        <v>103</v>
      </c>
      <c r="AB379" t="n">
        <v>2</v>
      </c>
      <c r="AC379" t="n">
        <v>2</v>
      </c>
      <c r="AD379" t="n">
        <v>4</v>
      </c>
      <c r="AE379" t="n">
        <v>4</v>
      </c>
      <c r="AF379" t="n">
        <v>1</v>
      </c>
      <c r="AG379" t="n">
        <v>1</v>
      </c>
      <c r="AH379" t="n">
        <v>2</v>
      </c>
      <c r="AI379" t="n">
        <v>2</v>
      </c>
      <c r="AJ379" t="n">
        <v>1</v>
      </c>
      <c r="AK379" t="n">
        <v>1</v>
      </c>
      <c r="AL379" t="n">
        <v>1</v>
      </c>
      <c r="AM379" t="n">
        <v>1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HYPERLINK("https://creighton-primo.hosted.exlibrisgroup.com/primo-explore/search?tab=default_tab&amp;search_scope=EVERYTHING&amp;vid=01CRU&amp;lang=en_US&amp;offset=0&amp;query=any,contains,991000958089702656","Catalog Record")</f>
        <v/>
      </c>
      <c r="AT379">
        <f>HYPERLINK("http://www.worldcat.org/oclc/2542655","WorldCat Record")</f>
        <v/>
      </c>
    </row>
    <row r="380">
      <c r="A380" t="inlineStr">
        <is>
          <t>No</t>
        </is>
      </c>
      <c r="B380" t="inlineStr">
        <is>
          <t>QV 77.2 A512 1998</t>
        </is>
      </c>
      <c r="C380" t="inlineStr">
        <is>
          <t>0                      QV 0077200A  512         1998</t>
        </is>
      </c>
      <c r="D380" t="inlineStr">
        <is>
          <t>The American Psychiatric Press textbook of psychopharmacology / edited by Alan F. Schatzberg and Charles B. Nemeroff.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Yes</t>
        </is>
      </c>
      <c r="J380" t="inlineStr">
        <is>
          <t>0</t>
        </is>
      </c>
      <c r="L380" t="inlineStr">
        <is>
          <t>Washington, DC. : American Psychiatric Press, c1998.</t>
        </is>
      </c>
      <c r="M380" t="inlineStr">
        <is>
          <t>1998</t>
        </is>
      </c>
      <c r="N380" t="inlineStr">
        <is>
          <t>2nd ed.</t>
        </is>
      </c>
      <c r="O380" t="inlineStr">
        <is>
          <t>eng</t>
        </is>
      </c>
      <c r="P380" t="inlineStr">
        <is>
          <t>dcu</t>
        </is>
      </c>
      <c r="R380" t="inlineStr">
        <is>
          <t xml:space="preserve">QV </t>
        </is>
      </c>
      <c r="S380" t="n">
        <v>10</v>
      </c>
      <c r="T380" t="n">
        <v>10</v>
      </c>
      <c r="U380" t="inlineStr">
        <is>
          <t>2006-03-15</t>
        </is>
      </c>
      <c r="V380" t="inlineStr">
        <is>
          <t>2006-03-15</t>
        </is>
      </c>
      <c r="W380" t="inlineStr">
        <is>
          <t>2000-02-10</t>
        </is>
      </c>
      <c r="X380" t="inlineStr">
        <is>
          <t>2000-02-10</t>
        </is>
      </c>
      <c r="Y380" t="n">
        <v>274</v>
      </c>
      <c r="Z380" t="n">
        <v>224</v>
      </c>
      <c r="AA380" t="n">
        <v>391</v>
      </c>
      <c r="AB380" t="n">
        <v>2</v>
      </c>
      <c r="AC380" t="n">
        <v>3</v>
      </c>
      <c r="AD380" t="n">
        <v>14</v>
      </c>
      <c r="AE380" t="n">
        <v>18</v>
      </c>
      <c r="AF380" t="n">
        <v>4</v>
      </c>
      <c r="AG380" t="n">
        <v>6</v>
      </c>
      <c r="AH380" t="n">
        <v>3</v>
      </c>
      <c r="AI380" t="n">
        <v>4</v>
      </c>
      <c r="AJ380" t="n">
        <v>9</v>
      </c>
      <c r="AK380" t="n">
        <v>12</v>
      </c>
      <c r="AL380" t="n">
        <v>1</v>
      </c>
      <c r="AM380" t="n">
        <v>1</v>
      </c>
      <c r="AN380" t="n">
        <v>1</v>
      </c>
      <c r="AO380" t="n">
        <v>1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HYPERLINK("https://creighton-primo.hosted.exlibrisgroup.com/primo-explore/search?tab=default_tab&amp;search_scope=EVERYTHING&amp;vid=01CRU&amp;lang=en_US&amp;offset=0&amp;query=any,contains,991001412079702656","Catalog Record")</f>
        <v/>
      </c>
      <c r="AT380">
        <f>HYPERLINK("http://www.worldcat.org/oclc/38249490","WorldCat Record")</f>
        <v/>
      </c>
    </row>
    <row r="381">
      <c r="A381" t="inlineStr">
        <is>
          <t>No</t>
        </is>
      </c>
      <c r="B381" t="inlineStr">
        <is>
          <t>QV77.2 A512 2004</t>
        </is>
      </c>
      <c r="C381" t="inlineStr">
        <is>
          <t>0                      QV 0077200A  512         2004</t>
        </is>
      </c>
      <c r="D381" t="inlineStr">
        <is>
          <t>The American Psychiatric Publishing textbook of psychopharmacology / edited by Alan F. Schatzberg, Charles B. Nemeroff.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2</t>
        </is>
      </c>
      <c r="L381" t="inlineStr">
        <is>
          <t>Washington, DC : American Psychiatric Pub., c2004.</t>
        </is>
      </c>
      <c r="M381" t="inlineStr">
        <is>
          <t>2004</t>
        </is>
      </c>
      <c r="N381" t="inlineStr">
        <is>
          <t>3rd ed.</t>
        </is>
      </c>
      <c r="O381" t="inlineStr">
        <is>
          <t>eng</t>
        </is>
      </c>
      <c r="P381" t="inlineStr">
        <is>
          <t>dcu</t>
        </is>
      </c>
      <c r="R381" t="inlineStr">
        <is>
          <t xml:space="preserve">QV </t>
        </is>
      </c>
      <c r="S381" t="n">
        <v>3</v>
      </c>
      <c r="T381" t="n">
        <v>3</v>
      </c>
      <c r="U381" t="inlineStr">
        <is>
          <t>2007-02-21</t>
        </is>
      </c>
      <c r="V381" t="inlineStr">
        <is>
          <t>2007-02-21</t>
        </is>
      </c>
      <c r="W381" t="inlineStr">
        <is>
          <t>2005-11-21</t>
        </is>
      </c>
      <c r="X381" t="inlineStr">
        <is>
          <t>2005-11-21</t>
        </is>
      </c>
      <c r="Y381" t="n">
        <v>291</v>
      </c>
      <c r="Z381" t="n">
        <v>239</v>
      </c>
      <c r="AA381" t="n">
        <v>440</v>
      </c>
      <c r="AB381" t="n">
        <v>1</v>
      </c>
      <c r="AC381" t="n">
        <v>2</v>
      </c>
      <c r="AD381" t="n">
        <v>12</v>
      </c>
      <c r="AE381" t="n">
        <v>19</v>
      </c>
      <c r="AF381" t="n">
        <v>7</v>
      </c>
      <c r="AG381" t="n">
        <v>8</v>
      </c>
      <c r="AH381" t="n">
        <v>3</v>
      </c>
      <c r="AI381" t="n">
        <v>5</v>
      </c>
      <c r="AJ381" t="n">
        <v>3</v>
      </c>
      <c r="AK381" t="n">
        <v>8</v>
      </c>
      <c r="AL381" t="n">
        <v>0</v>
      </c>
      <c r="AM381" t="n">
        <v>1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HYPERLINK("https://creighton-primo.hosted.exlibrisgroup.com/primo-explore/search?tab=default_tab&amp;search_scope=EVERYTHING&amp;vid=01CRU&amp;lang=en_US&amp;offset=0&amp;query=any,contains,991000450179702656","Catalog Record")</f>
        <v/>
      </c>
      <c r="AT381">
        <f>HYPERLINK("http://www.worldcat.org/oclc/51096022","WorldCat Record")</f>
        <v/>
      </c>
    </row>
    <row r="382">
      <c r="A382" t="inlineStr">
        <is>
          <t>No</t>
        </is>
      </c>
      <c r="B382" t="inlineStr">
        <is>
          <t>QV77.2 C641 2002</t>
        </is>
      </c>
      <c r="C382" t="inlineStr">
        <is>
          <t>0                      QV 0077200C  641         2002</t>
        </is>
      </c>
      <c r="D382" t="inlineStr">
        <is>
          <t>Clinical handbook of psychotropic drugs / Kalyna Z. Bezchlibnyk-Butler, principal editor ; J. Joel Jeffries, co-editor.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L382" t="inlineStr">
        <is>
          <t>Seattle : Hogrefe &amp; Huber Publishers, c2002.</t>
        </is>
      </c>
      <c r="M382" t="inlineStr">
        <is>
          <t>2002</t>
        </is>
      </c>
      <c r="N382" t="inlineStr">
        <is>
          <t>12th rev. ed.</t>
        </is>
      </c>
      <c r="O382" t="inlineStr">
        <is>
          <t>eng</t>
        </is>
      </c>
      <c r="P382" t="inlineStr">
        <is>
          <t>wau</t>
        </is>
      </c>
      <c r="R382" t="inlineStr">
        <is>
          <t xml:space="preserve">QV </t>
        </is>
      </c>
      <c r="S382" t="n">
        <v>3</v>
      </c>
      <c r="T382" t="n">
        <v>3</v>
      </c>
      <c r="U382" t="inlineStr">
        <is>
          <t>2006-03-15</t>
        </is>
      </c>
      <c r="V382" t="inlineStr">
        <is>
          <t>2006-03-15</t>
        </is>
      </c>
      <c r="W382" t="inlineStr">
        <is>
          <t>2003-03-26</t>
        </is>
      </c>
      <c r="X382" t="inlineStr">
        <is>
          <t>2003-03-26</t>
        </is>
      </c>
      <c r="Y382" t="n">
        <v>48</v>
      </c>
      <c r="Z382" t="n">
        <v>29</v>
      </c>
      <c r="AA382" t="n">
        <v>557</v>
      </c>
      <c r="AB382" t="n">
        <v>1</v>
      </c>
      <c r="AC382" t="n">
        <v>3</v>
      </c>
      <c r="AD382" t="n">
        <v>0</v>
      </c>
      <c r="AE382" t="n">
        <v>20</v>
      </c>
      <c r="AF382" t="n">
        <v>0</v>
      </c>
      <c r="AG382" t="n">
        <v>11</v>
      </c>
      <c r="AH382" t="n">
        <v>0</v>
      </c>
      <c r="AI382" t="n">
        <v>2</v>
      </c>
      <c r="AJ382" t="n">
        <v>0</v>
      </c>
      <c r="AK382" t="n">
        <v>10</v>
      </c>
      <c r="AL382" t="n">
        <v>0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HYPERLINK("http://catalog.hathitrust.org/Record/004271576","HathiTrust Record")</f>
        <v/>
      </c>
      <c r="AS382">
        <f>HYPERLINK("https://creighton-primo.hosted.exlibrisgroup.com/primo-explore/search?tab=default_tab&amp;search_scope=EVERYTHING&amp;vid=01CRU&amp;lang=en_US&amp;offset=0&amp;query=any,contains,991000342779702656","Catalog Record")</f>
        <v/>
      </c>
      <c r="AT382">
        <f>HYPERLINK("http://www.worldcat.org/oclc/50439458","WorldCat Record")</f>
        <v/>
      </c>
    </row>
    <row r="383">
      <c r="A383" t="inlineStr">
        <is>
          <t>No</t>
        </is>
      </c>
      <c r="B383" t="inlineStr">
        <is>
          <t>QV 77.2 I35u 1997</t>
        </is>
      </c>
      <c r="C383" t="inlineStr">
        <is>
          <t>0                      QV 0077200I  35u         1997</t>
        </is>
      </c>
      <c r="D383" t="inlineStr">
        <is>
          <t>Uppers, downers, all arounders : physical and mental effects of psychoactive drugs / Darryl S. Inaba, William E. Cohen, Michael E. Holstein.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Inaba, Darryl.</t>
        </is>
      </c>
      <c r="L383" t="inlineStr">
        <is>
          <t>Ashland, Or. : CNS Publications, c1997.</t>
        </is>
      </c>
      <c r="M383" t="inlineStr">
        <is>
          <t>1997</t>
        </is>
      </c>
      <c r="N383" t="inlineStr">
        <is>
          <t>3rd ed.</t>
        </is>
      </c>
      <c r="O383" t="inlineStr">
        <is>
          <t>eng</t>
        </is>
      </c>
      <c r="P383" t="inlineStr">
        <is>
          <t>oru</t>
        </is>
      </c>
      <c r="R383" t="inlineStr">
        <is>
          <t xml:space="preserve">QV </t>
        </is>
      </c>
      <c r="S383" t="n">
        <v>5</v>
      </c>
      <c r="T383" t="n">
        <v>5</v>
      </c>
      <c r="U383" t="inlineStr">
        <is>
          <t>2004-08-26</t>
        </is>
      </c>
      <c r="V383" t="inlineStr">
        <is>
          <t>2004-08-26</t>
        </is>
      </c>
      <c r="W383" t="inlineStr">
        <is>
          <t>1999-10-28</t>
        </is>
      </c>
      <c r="X383" t="inlineStr">
        <is>
          <t>1999-10-28</t>
        </is>
      </c>
      <c r="Y383" t="n">
        <v>295</v>
      </c>
      <c r="Z383" t="n">
        <v>271</v>
      </c>
      <c r="AA383" t="n">
        <v>908</v>
      </c>
      <c r="AB383" t="n">
        <v>1</v>
      </c>
      <c r="AC383" t="n">
        <v>7</v>
      </c>
      <c r="AD383" t="n">
        <v>6</v>
      </c>
      <c r="AE383" t="n">
        <v>26</v>
      </c>
      <c r="AF383" t="n">
        <v>2</v>
      </c>
      <c r="AG383" t="n">
        <v>10</v>
      </c>
      <c r="AH383" t="n">
        <v>1</v>
      </c>
      <c r="AI383" t="n">
        <v>5</v>
      </c>
      <c r="AJ383" t="n">
        <v>4</v>
      </c>
      <c r="AK383" t="n">
        <v>12</v>
      </c>
      <c r="AL383" t="n">
        <v>0</v>
      </c>
      <c r="AM383" t="n">
        <v>5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HYPERLINK("http://catalog.hathitrust.org/Record/003950415","HathiTrust Record")</f>
        <v/>
      </c>
      <c r="AS383">
        <f>HYPERLINK("https://creighton-primo.hosted.exlibrisgroup.com/primo-explore/search?tab=default_tab&amp;search_scope=EVERYTHING&amp;vid=01CRU&amp;lang=en_US&amp;offset=0&amp;query=any,contains,991001571689702656","Catalog Record")</f>
        <v/>
      </c>
      <c r="AT383">
        <f>HYPERLINK("http://www.worldcat.org/oclc/36662705","WorldCat Record")</f>
        <v/>
      </c>
    </row>
    <row r="384">
      <c r="A384" t="inlineStr">
        <is>
          <t>No</t>
        </is>
      </c>
      <c r="B384" t="inlineStr">
        <is>
          <t>QV 77.2 J17c 2007</t>
        </is>
      </c>
      <c r="C384" t="inlineStr">
        <is>
          <t>0                      QV 0077200J  17c         2007</t>
        </is>
      </c>
      <c r="D384" t="inlineStr">
        <is>
          <t>Clinical manual of geriatric psychopharmacology / Sandra A. Jacobson, Ronald W. Pies, Ira R. Katz.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1</t>
        </is>
      </c>
      <c r="K384" t="inlineStr">
        <is>
          <t>Jacobson, Sandra A., 1953-</t>
        </is>
      </c>
      <c r="L384" t="inlineStr">
        <is>
          <t>Washington, DC : American Psychiatric Pub., c2007.</t>
        </is>
      </c>
      <c r="M384" t="inlineStr">
        <is>
          <t>2007</t>
        </is>
      </c>
      <c r="N384" t="inlineStr">
        <is>
          <t>1st ed.</t>
        </is>
      </c>
      <c r="O384" t="inlineStr">
        <is>
          <t>eng</t>
        </is>
      </c>
      <c r="P384" t="inlineStr">
        <is>
          <t>dcu</t>
        </is>
      </c>
      <c r="R384" t="inlineStr">
        <is>
          <t xml:space="preserve">QV </t>
        </is>
      </c>
      <c r="S384" t="n">
        <v>1</v>
      </c>
      <c r="T384" t="n">
        <v>1</v>
      </c>
      <c r="U384" t="inlineStr">
        <is>
          <t>2009-03-31</t>
        </is>
      </c>
      <c r="V384" t="inlineStr">
        <is>
          <t>2009-03-31</t>
        </is>
      </c>
      <c r="W384" t="inlineStr">
        <is>
          <t>2009-02-12</t>
        </is>
      </c>
      <c r="X384" t="inlineStr">
        <is>
          <t>2009-02-12</t>
        </is>
      </c>
      <c r="Y384" t="n">
        <v>160</v>
      </c>
      <c r="Z384" t="n">
        <v>110</v>
      </c>
      <c r="AA384" t="n">
        <v>863</v>
      </c>
      <c r="AB384" t="n">
        <v>1</v>
      </c>
      <c r="AC384" t="n">
        <v>13</v>
      </c>
      <c r="AD384" t="n">
        <v>6</v>
      </c>
      <c r="AE384" t="n">
        <v>42</v>
      </c>
      <c r="AF384" t="n">
        <v>4</v>
      </c>
      <c r="AG384" t="n">
        <v>14</v>
      </c>
      <c r="AH384" t="n">
        <v>0</v>
      </c>
      <c r="AI384" t="n">
        <v>10</v>
      </c>
      <c r="AJ384" t="n">
        <v>4</v>
      </c>
      <c r="AK384" t="n">
        <v>13</v>
      </c>
      <c r="AL384" t="n">
        <v>0</v>
      </c>
      <c r="AM384" t="n">
        <v>11</v>
      </c>
      <c r="AN384" t="n">
        <v>0</v>
      </c>
      <c r="AO384" t="n">
        <v>1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HYPERLINK("https://creighton-primo.hosted.exlibrisgroup.com/primo-explore/search?tab=default_tab&amp;search_scope=EVERYTHING&amp;vid=01CRU&amp;lang=en_US&amp;offset=0&amp;query=any,contains,991001362799702656","Catalog Record")</f>
        <v/>
      </c>
      <c r="AT384">
        <f>HYPERLINK("http://www.worldcat.org/oclc/70867055","WorldCat Record")</f>
        <v/>
      </c>
    </row>
    <row r="385">
      <c r="A385" t="inlineStr">
        <is>
          <t>No</t>
        </is>
      </c>
      <c r="B385" t="inlineStr">
        <is>
          <t>QV 77.2 K29p 1997</t>
        </is>
      </c>
      <c r="C385" t="inlineStr">
        <is>
          <t>0                      QV 0077200K  29p         1997</t>
        </is>
      </c>
      <c r="D385" t="inlineStr">
        <is>
          <t>Psychotropic drugs / Norman L. Keltner, David G. Folks.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Yes</t>
        </is>
      </c>
      <c r="J385" t="inlineStr">
        <is>
          <t>0</t>
        </is>
      </c>
      <c r="K385" t="inlineStr">
        <is>
          <t>Keltner, Norman L.</t>
        </is>
      </c>
      <c r="L385" t="inlineStr">
        <is>
          <t>St. Louis : Mosby, c1997.</t>
        </is>
      </c>
      <c r="M385" t="inlineStr">
        <is>
          <t>1997</t>
        </is>
      </c>
      <c r="N385" t="inlineStr">
        <is>
          <t>2nd ed.</t>
        </is>
      </c>
      <c r="O385" t="inlineStr">
        <is>
          <t>eng</t>
        </is>
      </c>
      <c r="P385" t="inlineStr">
        <is>
          <t>mou</t>
        </is>
      </c>
      <c r="R385" t="inlineStr">
        <is>
          <t xml:space="preserve">QV </t>
        </is>
      </c>
      <c r="S385" t="n">
        <v>12</v>
      </c>
      <c r="T385" t="n">
        <v>12</v>
      </c>
      <c r="U385" t="inlineStr">
        <is>
          <t>2005-08-10</t>
        </is>
      </c>
      <c r="V385" t="inlineStr">
        <is>
          <t>2005-08-10</t>
        </is>
      </c>
      <c r="W385" t="inlineStr">
        <is>
          <t>1997-10-31</t>
        </is>
      </c>
      <c r="X385" t="inlineStr">
        <is>
          <t>1997-10-31</t>
        </is>
      </c>
      <c r="Y385" t="n">
        <v>211</v>
      </c>
      <c r="Z385" t="n">
        <v>178</v>
      </c>
      <c r="AA385" t="n">
        <v>535</v>
      </c>
      <c r="AB385" t="n">
        <v>1</v>
      </c>
      <c r="AC385" t="n">
        <v>2</v>
      </c>
      <c r="AD385" t="n">
        <v>5</v>
      </c>
      <c r="AE385" t="n">
        <v>22</v>
      </c>
      <c r="AF385" t="n">
        <v>1</v>
      </c>
      <c r="AG385" t="n">
        <v>12</v>
      </c>
      <c r="AH385" t="n">
        <v>2</v>
      </c>
      <c r="AI385" t="n">
        <v>4</v>
      </c>
      <c r="AJ385" t="n">
        <v>3</v>
      </c>
      <c r="AK385" t="n">
        <v>12</v>
      </c>
      <c r="AL385" t="n">
        <v>0</v>
      </c>
      <c r="AM385" t="n">
        <v>0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HYPERLINK("http://catalog.hathitrust.org/Record/003110346","HathiTrust Record")</f>
        <v/>
      </c>
      <c r="AS385">
        <f>HYPERLINK("https://creighton-primo.hosted.exlibrisgroup.com/primo-explore/search?tab=default_tab&amp;search_scope=EVERYTHING&amp;vid=01CRU&amp;lang=en_US&amp;offset=0&amp;query=any,contains,991001558779702656","Catalog Record")</f>
        <v/>
      </c>
      <c r="AT385">
        <f>HYPERLINK("http://www.worldcat.org/oclc/34283728","WorldCat Record")</f>
        <v/>
      </c>
    </row>
    <row r="386">
      <c r="A386" t="inlineStr">
        <is>
          <t>No</t>
        </is>
      </c>
      <c r="B386" t="inlineStr">
        <is>
          <t>QV 77.2 T375h 1995</t>
        </is>
      </c>
      <c r="C386" t="inlineStr">
        <is>
          <t>0                      QV 0077200T  375h        1995</t>
        </is>
      </c>
      <c r="D386" t="inlineStr">
        <is>
          <t>The handbook of psychiatric drug therapy for children and adolescents / Karen A. Theesen.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Theesen, Karen A.</t>
        </is>
      </c>
      <c r="L386" t="inlineStr">
        <is>
          <t>New York : Pharmaceutical Products Press, c1995.</t>
        </is>
      </c>
      <c r="M386" t="inlineStr">
        <is>
          <t>1995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QV </t>
        </is>
      </c>
      <c r="S386" t="n">
        <v>7</v>
      </c>
      <c r="T386" t="n">
        <v>7</v>
      </c>
      <c r="U386" t="inlineStr">
        <is>
          <t>1997-06-08</t>
        </is>
      </c>
      <c r="V386" t="inlineStr">
        <is>
          <t>1997-06-08</t>
        </is>
      </c>
      <c r="W386" t="inlineStr">
        <is>
          <t>1997-01-20</t>
        </is>
      </c>
      <c r="X386" t="inlineStr">
        <is>
          <t>1997-01-20</t>
        </is>
      </c>
      <c r="Y386" t="n">
        <v>95</v>
      </c>
      <c r="Z386" t="n">
        <v>83</v>
      </c>
      <c r="AA386" t="n">
        <v>91</v>
      </c>
      <c r="AB386" t="n">
        <v>1</v>
      </c>
      <c r="AC386" t="n">
        <v>1</v>
      </c>
      <c r="AD386" t="n">
        <v>2</v>
      </c>
      <c r="AE386" t="n">
        <v>3</v>
      </c>
      <c r="AF386" t="n">
        <v>0</v>
      </c>
      <c r="AG386" t="n">
        <v>1</v>
      </c>
      <c r="AH386" t="n">
        <v>1</v>
      </c>
      <c r="AI386" t="n">
        <v>1</v>
      </c>
      <c r="AJ386" t="n">
        <v>1</v>
      </c>
      <c r="AK386" t="n">
        <v>1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HYPERLINK("http://catalog.hathitrust.org/Record/003101882","HathiTrust Record")</f>
        <v/>
      </c>
      <c r="AS386">
        <f>HYPERLINK("https://creighton-primo.hosted.exlibrisgroup.com/primo-explore/search?tab=default_tab&amp;search_scope=EVERYTHING&amp;vid=01CRU&amp;lang=en_US&amp;offset=0&amp;query=any,contains,991000853149702656","Catalog Record")</f>
        <v/>
      </c>
      <c r="AT386">
        <f>HYPERLINK("http://www.worldcat.org/oclc/32205567","WorldCat Record")</f>
        <v/>
      </c>
    </row>
    <row r="387">
      <c r="A387" t="inlineStr">
        <is>
          <t>No</t>
        </is>
      </c>
      <c r="B387" t="inlineStr">
        <is>
          <t>QV 77.7 C22475 2002</t>
        </is>
      </c>
      <c r="C387" t="inlineStr">
        <is>
          <t>0                      QV 0077700C  22475       2002</t>
        </is>
      </c>
      <c r="D387" t="inlineStr">
        <is>
          <t>Cannabis and cannabinoids : pharmacology, toxicology, and therapeutic potential / Franjo Grotenhermen, Ethan Russo, editors.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New York : Haworth Integrative Healing Press, c2002.</t>
        </is>
      </c>
      <c r="M387" t="inlineStr">
        <is>
          <t>2002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QV </t>
        </is>
      </c>
      <c r="S387" t="n">
        <v>7</v>
      </c>
      <c r="T387" t="n">
        <v>7</v>
      </c>
      <c r="U387" t="inlineStr">
        <is>
          <t>2010-05-03</t>
        </is>
      </c>
      <c r="V387" t="inlineStr">
        <is>
          <t>2010-05-03</t>
        </is>
      </c>
      <c r="W387" t="inlineStr">
        <is>
          <t>2004-09-16</t>
        </is>
      </c>
      <c r="X387" t="inlineStr">
        <is>
          <t>2004-09-16</t>
        </is>
      </c>
      <c r="Y387" t="n">
        <v>369</v>
      </c>
      <c r="Z387" t="n">
        <v>307</v>
      </c>
      <c r="AA387" t="n">
        <v>334</v>
      </c>
      <c r="AB387" t="n">
        <v>3</v>
      </c>
      <c r="AC387" t="n">
        <v>3</v>
      </c>
      <c r="AD387" t="n">
        <v>20</v>
      </c>
      <c r="AE387" t="n">
        <v>20</v>
      </c>
      <c r="AF387" t="n">
        <v>8</v>
      </c>
      <c r="AG387" t="n">
        <v>8</v>
      </c>
      <c r="AH387" t="n">
        <v>7</v>
      </c>
      <c r="AI387" t="n">
        <v>7</v>
      </c>
      <c r="AJ387" t="n">
        <v>8</v>
      </c>
      <c r="AK387" t="n">
        <v>8</v>
      </c>
      <c r="AL387" t="n">
        <v>1</v>
      </c>
      <c r="AM387" t="n">
        <v>1</v>
      </c>
      <c r="AN387" t="n">
        <v>1</v>
      </c>
      <c r="AO387" t="n">
        <v>1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HYPERLINK("http://catalog.hathitrust.org/Record/004270230","HathiTrust Record")</f>
        <v/>
      </c>
      <c r="AS387">
        <f>HYPERLINK("https://creighton-primo.hosted.exlibrisgroup.com/primo-explore/search?tab=default_tab&amp;search_scope=EVERYTHING&amp;vid=01CRU&amp;lang=en_US&amp;offset=0&amp;query=any,contains,991000392689702656","Catalog Record")</f>
        <v/>
      </c>
      <c r="AT387">
        <f>HYPERLINK("http://www.worldcat.org/oclc/47049973","WorldCat Record")</f>
        <v/>
      </c>
    </row>
    <row r="388">
      <c r="A388" t="inlineStr">
        <is>
          <t>No</t>
        </is>
      </c>
      <c r="B388" t="inlineStr">
        <is>
          <t>QV 77.7 C609 1959</t>
        </is>
      </c>
      <c r="C388" t="inlineStr">
        <is>
          <t>0                      QV 0077700C  609         1959</t>
        </is>
      </c>
      <c r="D388" t="inlineStr">
        <is>
          <t>The use of LSD in psychotherapy : transactions / Edited by Harold A. Abramson.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Conference on d-Lysergic Acid Diethylamide (LSD-25) (1959 : Princeton, N.J.)</t>
        </is>
      </c>
      <c r="L388" t="inlineStr">
        <is>
          <t>New York : Josiah Macy, Jr. Foundation, 1960.</t>
        </is>
      </c>
      <c r="M388" t="inlineStr">
        <is>
          <t>1960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QV </t>
        </is>
      </c>
      <c r="S388" t="n">
        <v>2</v>
      </c>
      <c r="T388" t="n">
        <v>2</v>
      </c>
      <c r="U388" t="inlineStr">
        <is>
          <t>2007-11-15</t>
        </is>
      </c>
      <c r="V388" t="inlineStr">
        <is>
          <t>2007-11-15</t>
        </is>
      </c>
      <c r="W388" t="inlineStr">
        <is>
          <t>1988-03-17</t>
        </is>
      </c>
      <c r="X388" t="inlineStr">
        <is>
          <t>1988-03-17</t>
        </is>
      </c>
      <c r="Y388" t="n">
        <v>124</v>
      </c>
      <c r="Z388" t="n">
        <v>107</v>
      </c>
      <c r="AA388" t="n">
        <v>109</v>
      </c>
      <c r="AB388" t="n">
        <v>1</v>
      </c>
      <c r="AC388" t="n">
        <v>1</v>
      </c>
      <c r="AD388" t="n">
        <v>4</v>
      </c>
      <c r="AE388" t="n">
        <v>4</v>
      </c>
      <c r="AF388" t="n">
        <v>0</v>
      </c>
      <c r="AG388" t="n">
        <v>0</v>
      </c>
      <c r="AH388" t="n">
        <v>2</v>
      </c>
      <c r="AI388" t="n">
        <v>2</v>
      </c>
      <c r="AJ388" t="n">
        <v>3</v>
      </c>
      <c r="AK388" t="n">
        <v>3</v>
      </c>
      <c r="AL388" t="n">
        <v>0</v>
      </c>
      <c r="AM388" t="n">
        <v>0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R388">
        <f>HYPERLINK("http://catalog.hathitrust.org/Record/001564600","HathiTrust Record")</f>
        <v/>
      </c>
      <c r="AS388">
        <f>HYPERLINK("https://creighton-primo.hosted.exlibrisgroup.com/primo-explore/search?tab=default_tab&amp;search_scope=EVERYTHING&amp;vid=01CRU&amp;lang=en_US&amp;offset=0&amp;query=any,contains,991000958169702656","Catalog Record")</f>
        <v/>
      </c>
      <c r="AT388">
        <f>HYPERLINK("http://www.worldcat.org/oclc/522421","WorldCat Record")</f>
        <v/>
      </c>
    </row>
    <row r="389">
      <c r="A389" t="inlineStr">
        <is>
          <t>No</t>
        </is>
      </c>
      <c r="B389" t="inlineStr">
        <is>
          <t>QV 77.7 H193 1984</t>
        </is>
      </c>
      <c r="C389" t="inlineStr">
        <is>
          <t>0                      QV 0077700H  193         1984</t>
        </is>
      </c>
      <c r="D389" t="inlineStr">
        <is>
          <t>Hallucinogens--neurochemical, behavioral, and clinical perspectives / volume editor, Barry L. Jacobs.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New York : Raven, c1984.</t>
        </is>
      </c>
      <c r="M389" t="inlineStr">
        <is>
          <t>1984</t>
        </is>
      </c>
      <c r="O389" t="inlineStr">
        <is>
          <t>eng</t>
        </is>
      </c>
      <c r="P389" t="inlineStr">
        <is>
          <t>xxu</t>
        </is>
      </c>
      <c r="Q389" t="inlineStr">
        <is>
          <t>Central nervous system pharmacology</t>
        </is>
      </c>
      <c r="R389" t="inlineStr">
        <is>
          <t xml:space="preserve">QV </t>
        </is>
      </c>
      <c r="S389" t="n">
        <v>19</v>
      </c>
      <c r="T389" t="n">
        <v>19</v>
      </c>
      <c r="U389" t="inlineStr">
        <is>
          <t>1996-09-20</t>
        </is>
      </c>
      <c r="V389" t="inlineStr">
        <is>
          <t>1996-09-20</t>
        </is>
      </c>
      <c r="W389" t="inlineStr">
        <is>
          <t>1988-02-08</t>
        </is>
      </c>
      <c r="X389" t="inlineStr">
        <is>
          <t>1988-02-08</t>
        </is>
      </c>
      <c r="Y389" t="n">
        <v>180</v>
      </c>
      <c r="Z389" t="n">
        <v>139</v>
      </c>
      <c r="AA389" t="n">
        <v>142</v>
      </c>
      <c r="AB389" t="n">
        <v>2</v>
      </c>
      <c r="AC389" t="n">
        <v>2</v>
      </c>
      <c r="AD389" t="n">
        <v>4</v>
      </c>
      <c r="AE389" t="n">
        <v>5</v>
      </c>
      <c r="AF389" t="n">
        <v>1</v>
      </c>
      <c r="AG389" t="n">
        <v>2</v>
      </c>
      <c r="AH389" t="n">
        <v>2</v>
      </c>
      <c r="AI389" t="n">
        <v>2</v>
      </c>
      <c r="AJ389" t="n">
        <v>2</v>
      </c>
      <c r="AK389" t="n">
        <v>3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HYPERLINK("http://catalog.hathitrust.org/Record/000119913","HathiTrust Record")</f>
        <v/>
      </c>
      <c r="AS389">
        <f>HYPERLINK("https://creighton-primo.hosted.exlibrisgroup.com/primo-explore/search?tab=default_tab&amp;search_scope=EVERYTHING&amp;vid=01CRU&amp;lang=en_US&amp;offset=0&amp;query=any,contains,991000958129702656","Catalog Record")</f>
        <v/>
      </c>
      <c r="AT389">
        <f>HYPERLINK("http://www.worldcat.org/oclc/10324237","WorldCat Record")</f>
        <v/>
      </c>
    </row>
    <row r="390">
      <c r="A390" t="inlineStr">
        <is>
          <t>No</t>
        </is>
      </c>
      <c r="B390" t="inlineStr">
        <is>
          <t>QV 77.7 N153m 1984</t>
        </is>
      </c>
      <c r="C390" t="inlineStr">
        <is>
          <t>0                      QV 0077700N  153m        1984</t>
        </is>
      </c>
      <c r="D390" t="inlineStr">
        <is>
          <t>Marihuana in science and medicine / Gabriel G. Nahas, with contributions by David J. Harvey, Michel Paris, Henry Brill.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Nahas, Gabriel G., 1920-2012.</t>
        </is>
      </c>
      <c r="L390" t="inlineStr">
        <is>
          <t>New York : Raven Press, c1984.</t>
        </is>
      </c>
      <c r="M390" t="inlineStr">
        <is>
          <t>1984</t>
        </is>
      </c>
      <c r="O390" t="inlineStr">
        <is>
          <t>eng</t>
        </is>
      </c>
      <c r="P390" t="inlineStr">
        <is>
          <t xml:space="preserve">aa </t>
        </is>
      </c>
      <c r="R390" t="inlineStr">
        <is>
          <t xml:space="preserve">QV </t>
        </is>
      </c>
      <c r="S390" t="n">
        <v>13</v>
      </c>
      <c r="T390" t="n">
        <v>13</v>
      </c>
      <c r="U390" t="inlineStr">
        <is>
          <t>2010-05-03</t>
        </is>
      </c>
      <c r="V390" t="inlineStr">
        <is>
          <t>2010-05-03</t>
        </is>
      </c>
      <c r="W390" t="inlineStr">
        <is>
          <t>1988-02-08</t>
        </is>
      </c>
      <c r="X390" t="inlineStr">
        <is>
          <t>1988-02-08</t>
        </is>
      </c>
      <c r="Y390" t="n">
        <v>236</v>
      </c>
      <c r="Z390" t="n">
        <v>185</v>
      </c>
      <c r="AA390" t="n">
        <v>189</v>
      </c>
      <c r="AB390" t="n">
        <v>2</v>
      </c>
      <c r="AC390" t="n">
        <v>2</v>
      </c>
      <c r="AD390" t="n">
        <v>6</v>
      </c>
      <c r="AE390" t="n">
        <v>6</v>
      </c>
      <c r="AF390" t="n">
        <v>2</v>
      </c>
      <c r="AG390" t="n">
        <v>2</v>
      </c>
      <c r="AH390" t="n">
        <v>2</v>
      </c>
      <c r="AI390" t="n">
        <v>2</v>
      </c>
      <c r="AJ390" t="n">
        <v>4</v>
      </c>
      <c r="AK390" t="n">
        <v>4</v>
      </c>
      <c r="AL390" t="n">
        <v>1</v>
      </c>
      <c r="AM390" t="n">
        <v>1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HYPERLINK("http://catalog.hathitrust.org/Record/000166420","HathiTrust Record")</f>
        <v/>
      </c>
      <c r="AS390">
        <f>HYPERLINK("https://creighton-primo.hosted.exlibrisgroup.com/primo-explore/search?tab=default_tab&amp;search_scope=EVERYTHING&amp;vid=01CRU&amp;lang=en_US&amp;offset=0&amp;query=any,contains,991000958209702656","Catalog Record")</f>
        <v/>
      </c>
      <c r="AT390">
        <f>HYPERLINK("http://www.worldcat.org/oclc/10876194","WorldCat Record")</f>
        <v/>
      </c>
    </row>
    <row r="391">
      <c r="A391" t="inlineStr">
        <is>
          <t>No</t>
        </is>
      </c>
      <c r="B391" t="inlineStr">
        <is>
          <t>QV 77.9 A633 1985</t>
        </is>
      </c>
      <c r="C391" t="inlineStr">
        <is>
          <t>0                      QV 0077900A  633         1985</t>
        </is>
      </c>
      <c r="D391" t="inlineStr">
        <is>
          <t>Antipsychotics / edited by Graham D. Burrows, Trevor R. Norman, and Brian Davies.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Amsterdam ; New York : Elsevier ; New York, NY, USA : Sole distributors for the U.S.A. and Canada, Elsevier Science Pub. Co., c1985.</t>
        </is>
      </c>
      <c r="M391" t="inlineStr">
        <is>
          <t>1985</t>
        </is>
      </c>
      <c r="O391" t="inlineStr">
        <is>
          <t>eng</t>
        </is>
      </c>
      <c r="P391" t="inlineStr">
        <is>
          <t xml:space="preserve">ne </t>
        </is>
      </c>
      <c r="Q391" t="inlineStr">
        <is>
          <t>Drugs in psychiatry ; v. 3</t>
        </is>
      </c>
      <c r="R391" t="inlineStr">
        <is>
          <t xml:space="preserve">QV </t>
        </is>
      </c>
      <c r="S391" t="n">
        <v>5</v>
      </c>
      <c r="T391" t="n">
        <v>5</v>
      </c>
      <c r="U391" t="inlineStr">
        <is>
          <t>1989-11-05</t>
        </is>
      </c>
      <c r="V391" t="inlineStr">
        <is>
          <t>1989-11-05</t>
        </is>
      </c>
      <c r="W391" t="inlineStr">
        <is>
          <t>1988-02-08</t>
        </is>
      </c>
      <c r="X391" t="inlineStr">
        <is>
          <t>1988-02-08</t>
        </is>
      </c>
      <c r="Y391" t="n">
        <v>130</v>
      </c>
      <c r="Z391" t="n">
        <v>90</v>
      </c>
      <c r="AA391" t="n">
        <v>92</v>
      </c>
      <c r="AB391" t="n">
        <v>1</v>
      </c>
      <c r="AC391" t="n">
        <v>1</v>
      </c>
      <c r="AD391" t="n">
        <v>1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1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HYPERLINK("http://catalog.hathitrust.org/Record/000352179","HathiTrust Record")</f>
        <v/>
      </c>
      <c r="AS391">
        <f>HYPERLINK("https://creighton-primo.hosted.exlibrisgroup.com/primo-explore/search?tab=default_tab&amp;search_scope=EVERYTHING&amp;vid=01CRU&amp;lang=en_US&amp;offset=0&amp;query=any,contains,991000958249702656","Catalog Record")</f>
        <v/>
      </c>
      <c r="AT391">
        <f>HYPERLINK("http://www.worldcat.org/oclc/11550436","WorldCat Record")</f>
        <v/>
      </c>
    </row>
    <row r="392">
      <c r="A392" t="inlineStr">
        <is>
          <t>No</t>
        </is>
      </c>
      <c r="B392" t="inlineStr">
        <is>
          <t>QV 77.9 B4785 1990</t>
        </is>
      </c>
      <c r="C392" t="inlineStr">
        <is>
          <t>0                      QV 0077900B  4785        1990</t>
        </is>
      </c>
      <c r="D392" t="inlineStr">
        <is>
          <t>Benzodiazepine dependence, toxicity, and abuse : a task force report of the American Psychiatric Association / American Psychiatric Association Task Force on Benzodiazepine Dependence, Toxicity, and Abuse.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L392" t="inlineStr">
        <is>
          <t>Washington, DC : American Psychiatric Association, c1990.</t>
        </is>
      </c>
      <c r="M392" t="inlineStr">
        <is>
          <t>1990</t>
        </is>
      </c>
      <c r="O392" t="inlineStr">
        <is>
          <t>eng</t>
        </is>
      </c>
      <c r="P392" t="inlineStr">
        <is>
          <t>xxu</t>
        </is>
      </c>
      <c r="R392" t="inlineStr">
        <is>
          <t xml:space="preserve">QV </t>
        </is>
      </c>
      <c r="S392" t="n">
        <v>12</v>
      </c>
      <c r="T392" t="n">
        <v>12</v>
      </c>
      <c r="U392" t="inlineStr">
        <is>
          <t>1997-11-18</t>
        </is>
      </c>
      <c r="V392" t="inlineStr">
        <is>
          <t>1997-11-18</t>
        </is>
      </c>
      <c r="W392" t="inlineStr">
        <is>
          <t>1990-11-02</t>
        </is>
      </c>
      <c r="X392" t="inlineStr">
        <is>
          <t>1990-11-02</t>
        </is>
      </c>
      <c r="Y392" t="n">
        <v>196</v>
      </c>
      <c r="Z392" t="n">
        <v>152</v>
      </c>
      <c r="AA392" t="n">
        <v>159</v>
      </c>
      <c r="AB392" t="n">
        <v>1</v>
      </c>
      <c r="AC392" t="n">
        <v>1</v>
      </c>
      <c r="AD392" t="n">
        <v>6</v>
      </c>
      <c r="AE392" t="n">
        <v>6</v>
      </c>
      <c r="AF392" t="n">
        <v>3</v>
      </c>
      <c r="AG392" t="n">
        <v>3</v>
      </c>
      <c r="AH392" t="n">
        <v>1</v>
      </c>
      <c r="AI392" t="n">
        <v>1</v>
      </c>
      <c r="AJ392" t="n">
        <v>3</v>
      </c>
      <c r="AK392" t="n">
        <v>3</v>
      </c>
      <c r="AL392" t="n">
        <v>0</v>
      </c>
      <c r="AM392" t="n">
        <v>0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HYPERLINK("http://catalog.hathitrust.org/Record/002424172","HathiTrust Record")</f>
        <v/>
      </c>
      <c r="AS392">
        <f>HYPERLINK("https://creighton-primo.hosted.exlibrisgroup.com/primo-explore/search?tab=default_tab&amp;search_scope=EVERYTHING&amp;vid=01CRU&amp;lang=en_US&amp;offset=0&amp;query=any,contains,991000775869702656","Catalog Record")</f>
        <v/>
      </c>
      <c r="AT392">
        <f>HYPERLINK("http://www.worldcat.org/oclc/21408616","WorldCat Record")</f>
        <v/>
      </c>
    </row>
    <row r="393">
      <c r="A393" t="inlineStr">
        <is>
          <t>No</t>
        </is>
      </c>
      <c r="B393" t="inlineStr">
        <is>
          <t>QV 77.9 L431e 1986</t>
        </is>
      </c>
      <c r="C393" t="inlineStr">
        <is>
          <t>0                      QV 0077900L  431e        1986</t>
        </is>
      </c>
      <c r="D393" t="inlineStr">
        <is>
          <t>Endocrine and metabolic effects of lithium / John H. Lazarus ; with a chapter by Keith J. Collard.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Lazarus, J. H. (John H.)</t>
        </is>
      </c>
      <c r="L393" t="inlineStr">
        <is>
          <t>New York : Plenum Medical Book Co., c1986.</t>
        </is>
      </c>
      <c r="M393" t="inlineStr">
        <is>
          <t>1986</t>
        </is>
      </c>
      <c r="O393" t="inlineStr">
        <is>
          <t>eng</t>
        </is>
      </c>
      <c r="P393" t="inlineStr">
        <is>
          <t>xxu</t>
        </is>
      </c>
      <c r="R393" t="inlineStr">
        <is>
          <t xml:space="preserve">QV </t>
        </is>
      </c>
      <c r="S393" t="n">
        <v>6</v>
      </c>
      <c r="T393" t="n">
        <v>6</v>
      </c>
      <c r="U393" t="inlineStr">
        <is>
          <t>1995-03-14</t>
        </is>
      </c>
      <c r="V393" t="inlineStr">
        <is>
          <t>1995-03-14</t>
        </is>
      </c>
      <c r="W393" t="inlineStr">
        <is>
          <t>1988-02-08</t>
        </is>
      </c>
      <c r="X393" t="inlineStr">
        <is>
          <t>1988-02-08</t>
        </is>
      </c>
      <c r="Y393" t="n">
        <v>152</v>
      </c>
      <c r="Z393" t="n">
        <v>116</v>
      </c>
      <c r="AA393" t="n">
        <v>132</v>
      </c>
      <c r="AB393" t="n">
        <v>1</v>
      </c>
      <c r="AC393" t="n">
        <v>1</v>
      </c>
      <c r="AD393" t="n">
        <v>4</v>
      </c>
      <c r="AE393" t="n">
        <v>4</v>
      </c>
      <c r="AF393" t="n">
        <v>1</v>
      </c>
      <c r="AG393" t="n">
        <v>1</v>
      </c>
      <c r="AH393" t="n">
        <v>1</v>
      </c>
      <c r="AI393" t="n">
        <v>1</v>
      </c>
      <c r="AJ393" t="n">
        <v>3</v>
      </c>
      <c r="AK393" t="n">
        <v>3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HYPERLINK("https://creighton-primo.hosted.exlibrisgroup.com/primo-explore/search?tab=default_tab&amp;search_scope=EVERYTHING&amp;vid=01CRU&amp;lang=en_US&amp;offset=0&amp;query=any,contains,991000958289702656","Catalog Record")</f>
        <v/>
      </c>
      <c r="AT393">
        <f>HYPERLINK("http://www.worldcat.org/oclc/12943514","WorldCat Record")</f>
        <v/>
      </c>
    </row>
    <row r="394">
      <c r="A394" t="inlineStr">
        <is>
          <t>No</t>
        </is>
      </c>
      <c r="B394" t="inlineStr">
        <is>
          <t>QV 77.9 M345b 1985</t>
        </is>
      </c>
      <c r="C394" t="inlineStr">
        <is>
          <t>0                      QV 0077900M  345b        1985</t>
        </is>
      </c>
      <c r="D394" t="inlineStr">
        <is>
          <t>The benzodiazepines : use, overuse, misuse, abuse / by John Marks.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Marks, John, 1924-</t>
        </is>
      </c>
      <c r="L394" t="inlineStr">
        <is>
          <t>Lancaster, England ; Boston : MTP Press, c1985.</t>
        </is>
      </c>
      <c r="M394" t="inlineStr">
        <is>
          <t>1985</t>
        </is>
      </c>
      <c r="N394" t="inlineStr">
        <is>
          <t>2nd ed.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QV </t>
        </is>
      </c>
      <c r="S394" t="n">
        <v>9</v>
      </c>
      <c r="T394" t="n">
        <v>9</v>
      </c>
      <c r="U394" t="inlineStr">
        <is>
          <t>1997-11-18</t>
        </is>
      </c>
      <c r="V394" t="inlineStr">
        <is>
          <t>1997-11-18</t>
        </is>
      </c>
      <c r="W394" t="inlineStr">
        <is>
          <t>1988-02-08</t>
        </is>
      </c>
      <c r="X394" t="inlineStr">
        <is>
          <t>1988-02-08</t>
        </is>
      </c>
      <c r="Y394" t="n">
        <v>159</v>
      </c>
      <c r="Z394" t="n">
        <v>97</v>
      </c>
      <c r="AA394" t="n">
        <v>235</v>
      </c>
      <c r="AB394" t="n">
        <v>1</v>
      </c>
      <c r="AC394" t="n">
        <v>2</v>
      </c>
      <c r="AD394" t="n">
        <v>4</v>
      </c>
      <c r="AE394" t="n">
        <v>8</v>
      </c>
      <c r="AF394" t="n">
        <v>1</v>
      </c>
      <c r="AG394" t="n">
        <v>3</v>
      </c>
      <c r="AH394" t="n">
        <v>1</v>
      </c>
      <c r="AI394" t="n">
        <v>2</v>
      </c>
      <c r="AJ394" t="n">
        <v>2</v>
      </c>
      <c r="AK394" t="n">
        <v>4</v>
      </c>
      <c r="AL394" t="n">
        <v>0</v>
      </c>
      <c r="AM394" t="n">
        <v>1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HYPERLINK("http://catalog.hathitrust.org/Record/000377162","HathiTrust Record")</f>
        <v/>
      </c>
      <c r="AS394">
        <f>HYPERLINK("https://creighton-primo.hosted.exlibrisgroup.com/primo-explore/search?tab=default_tab&amp;search_scope=EVERYTHING&amp;vid=01CRU&amp;lang=en_US&amp;offset=0&amp;query=any,contains,991000958329702656","Catalog Record")</f>
        <v/>
      </c>
      <c r="AT394">
        <f>HYPERLINK("http://www.worldcat.org/oclc/12050786","WorldCat Record")</f>
        <v/>
      </c>
    </row>
    <row r="395">
      <c r="A395" t="inlineStr">
        <is>
          <t>No</t>
        </is>
      </c>
      <c r="B395" t="inlineStr">
        <is>
          <t>QV 77.9 N532 1992</t>
        </is>
      </c>
      <c r="C395" t="inlineStr">
        <is>
          <t>0                      QV 0077900N  532         1992</t>
        </is>
      </c>
      <c r="D395" t="inlineStr">
        <is>
          <t>New generation of antipsychotic drugs : novel mechanisms of action : workshop, Monte Carlo, March 16-18, 1982 / volume editors, N. Brunello, J. Mendlewicz, G. Racagni.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Basel ; New York : Karger, c1993.</t>
        </is>
      </c>
      <c r="M395" t="inlineStr">
        <is>
          <t>1993</t>
        </is>
      </c>
      <c r="O395" t="inlineStr">
        <is>
          <t>eng</t>
        </is>
      </c>
      <c r="P395" t="inlineStr">
        <is>
          <t xml:space="preserve">sz </t>
        </is>
      </c>
      <c r="Q395" t="inlineStr">
        <is>
          <t>International Academy for Biomedical and Drug Research ; vol. 4</t>
        </is>
      </c>
      <c r="R395" t="inlineStr">
        <is>
          <t xml:space="preserve">QV </t>
        </is>
      </c>
      <c r="S395" t="n">
        <v>6</v>
      </c>
      <c r="T395" t="n">
        <v>6</v>
      </c>
      <c r="U395" t="inlineStr">
        <is>
          <t>2002-11-24</t>
        </is>
      </c>
      <c r="V395" t="inlineStr">
        <is>
          <t>2002-11-24</t>
        </is>
      </c>
      <c r="W395" t="inlineStr">
        <is>
          <t>1993-08-31</t>
        </is>
      </c>
      <c r="X395" t="inlineStr">
        <is>
          <t>1993-08-31</t>
        </is>
      </c>
      <c r="Y395" t="n">
        <v>52</v>
      </c>
      <c r="Z395" t="n">
        <v>29</v>
      </c>
      <c r="AA395" t="n">
        <v>34</v>
      </c>
      <c r="AB395" t="n">
        <v>1</v>
      </c>
      <c r="AC395" t="n">
        <v>1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HYPERLINK("https://creighton-primo.hosted.exlibrisgroup.com/primo-explore/search?tab=default_tab&amp;search_scope=EVERYTHING&amp;vid=01CRU&amp;lang=en_US&amp;offset=0&amp;query=any,contains,991001511559702656","Catalog Record")</f>
        <v/>
      </c>
      <c r="AT395">
        <f>HYPERLINK("http://www.worldcat.org/oclc/27034241","WorldCat Record")</f>
        <v/>
      </c>
    </row>
    <row r="396">
      <c r="A396" t="inlineStr">
        <is>
          <t>No</t>
        </is>
      </c>
      <c r="B396" t="inlineStr">
        <is>
          <t>QV 80 T755 1987</t>
        </is>
      </c>
      <c r="C396" t="inlineStr">
        <is>
          <t>0                      QV 0080000T  755         1987</t>
        </is>
      </c>
      <c r="D396" t="inlineStr">
        <is>
          <t>Toxicology of CNS depressants / editor, I.K. Ho.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Boca Raton, Fla. : CRC Press, 1987.</t>
        </is>
      </c>
      <c r="M396" t="inlineStr">
        <is>
          <t>1987</t>
        </is>
      </c>
      <c r="O396" t="inlineStr">
        <is>
          <t>eng</t>
        </is>
      </c>
      <c r="P396" t="inlineStr">
        <is>
          <t>xxu</t>
        </is>
      </c>
      <c r="R396" t="inlineStr">
        <is>
          <t xml:space="preserve">QV </t>
        </is>
      </c>
      <c r="S396" t="n">
        <v>6</v>
      </c>
      <c r="T396" t="n">
        <v>6</v>
      </c>
      <c r="U396" t="inlineStr">
        <is>
          <t>1990-05-14</t>
        </is>
      </c>
      <c r="V396" t="inlineStr">
        <is>
          <t>1990-05-14</t>
        </is>
      </c>
      <c r="W396" t="inlineStr">
        <is>
          <t>1988-01-05</t>
        </is>
      </c>
      <c r="X396" t="inlineStr">
        <is>
          <t>1988-01-05</t>
        </is>
      </c>
      <c r="Y396" t="n">
        <v>99</v>
      </c>
      <c r="Z396" t="n">
        <v>79</v>
      </c>
      <c r="AA396" t="n">
        <v>81</v>
      </c>
      <c r="AB396" t="n">
        <v>1</v>
      </c>
      <c r="AC396" t="n">
        <v>1</v>
      </c>
      <c r="AD396" t="n">
        <v>2</v>
      </c>
      <c r="AE396" t="n">
        <v>2</v>
      </c>
      <c r="AF396" t="n">
        <v>0</v>
      </c>
      <c r="AG396" t="n">
        <v>0</v>
      </c>
      <c r="AH396" t="n">
        <v>2</v>
      </c>
      <c r="AI396" t="n">
        <v>2</v>
      </c>
      <c r="AJ396" t="n">
        <v>1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HYPERLINK("http://catalog.hathitrust.org/Record/000836215","HathiTrust Record")</f>
        <v/>
      </c>
      <c r="AS396">
        <f>HYPERLINK("https://creighton-primo.hosted.exlibrisgroup.com/primo-explore/search?tab=default_tab&amp;search_scope=EVERYTHING&amp;vid=01CRU&amp;lang=en_US&amp;offset=0&amp;query=any,contains,991001536739702656","Catalog Record")</f>
        <v/>
      </c>
      <c r="AT396">
        <f>HYPERLINK("http://www.worldcat.org/oclc/15588697","WorldCat Record")</f>
        <v/>
      </c>
    </row>
    <row r="397">
      <c r="A397" t="inlineStr">
        <is>
          <t>No</t>
        </is>
      </c>
      <c r="B397" t="inlineStr">
        <is>
          <t>QV81 A5787 2004</t>
        </is>
      </c>
      <c r="C397" t="inlineStr">
        <is>
          <t>0                      QV 0081000A  5787        2004</t>
        </is>
      </c>
      <c r="D397" t="inlineStr">
        <is>
          <t>Anesthetic pharmacology : physiologic principles and clinical practice : a companion to Miller's Anesthesia / [edited by] Alex S. Evers, Mervyn Maze.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New York : Churchill Livingstone, c2004.</t>
        </is>
      </c>
      <c r="M397" t="inlineStr">
        <is>
          <t>2004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QV </t>
        </is>
      </c>
      <c r="S397" t="n">
        <v>0</v>
      </c>
      <c r="T397" t="n">
        <v>0</v>
      </c>
      <c r="U397" t="inlineStr">
        <is>
          <t>2006-01-30</t>
        </is>
      </c>
      <c r="V397" t="inlineStr">
        <is>
          <t>2006-01-30</t>
        </is>
      </c>
      <c r="W397" t="inlineStr">
        <is>
          <t>2006-01-19</t>
        </is>
      </c>
      <c r="X397" t="inlineStr">
        <is>
          <t>2006-01-19</t>
        </is>
      </c>
      <c r="Y397" t="n">
        <v>181</v>
      </c>
      <c r="Z397" t="n">
        <v>106</v>
      </c>
      <c r="AA397" t="n">
        <v>111</v>
      </c>
      <c r="AB397" t="n">
        <v>1</v>
      </c>
      <c r="AC397" t="n">
        <v>1</v>
      </c>
      <c r="AD397" t="n">
        <v>7</v>
      </c>
      <c r="AE397" t="n">
        <v>7</v>
      </c>
      <c r="AF397" t="n">
        <v>4</v>
      </c>
      <c r="AG397" t="n">
        <v>4</v>
      </c>
      <c r="AH397" t="n">
        <v>0</v>
      </c>
      <c r="AI397" t="n">
        <v>0</v>
      </c>
      <c r="AJ397" t="n">
        <v>4</v>
      </c>
      <c r="AK397" t="n">
        <v>4</v>
      </c>
      <c r="AL397" t="n">
        <v>0</v>
      </c>
      <c r="AM397" t="n">
        <v>0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HYPERLINK("https://creighton-primo.hosted.exlibrisgroup.com/primo-explore/search?tab=default_tab&amp;search_scope=EVERYTHING&amp;vid=01CRU&amp;lang=en_US&amp;offset=0&amp;query=any,contains,991000456199702656","Catalog Record")</f>
        <v/>
      </c>
      <c r="AT397">
        <f>HYPERLINK("http://www.worldcat.org/oclc/52424678","WorldCat Record")</f>
        <v/>
      </c>
    </row>
    <row r="398">
      <c r="A398" t="inlineStr">
        <is>
          <t>No</t>
        </is>
      </c>
      <c r="B398" t="inlineStr">
        <is>
          <t>QV 81 M972a 1991</t>
        </is>
      </c>
      <c r="C398" t="inlineStr">
        <is>
          <t>0                      QV 0081000M  972a        1991</t>
        </is>
      </c>
      <c r="D398" t="inlineStr">
        <is>
          <t>The anesthetic plan : from physiologic principles to clinical strategies / Stanley Muravchick.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Muravchick, Stanley.</t>
        </is>
      </c>
      <c r="L398" t="inlineStr">
        <is>
          <t>St. Louis : Mosby Year Book, c1991.</t>
        </is>
      </c>
      <c r="M398" t="inlineStr">
        <is>
          <t>1991</t>
        </is>
      </c>
      <c r="O398" t="inlineStr">
        <is>
          <t>eng</t>
        </is>
      </c>
      <c r="P398" t="inlineStr">
        <is>
          <t>mou</t>
        </is>
      </c>
      <c r="R398" t="inlineStr">
        <is>
          <t xml:space="preserve">QV </t>
        </is>
      </c>
      <c r="S398" t="n">
        <v>4</v>
      </c>
      <c r="T398" t="n">
        <v>4</v>
      </c>
      <c r="U398" t="inlineStr">
        <is>
          <t>1998-02-22</t>
        </is>
      </c>
      <c r="V398" t="inlineStr">
        <is>
          <t>1998-02-22</t>
        </is>
      </c>
      <c r="W398" t="inlineStr">
        <is>
          <t>1992-06-04</t>
        </is>
      </c>
      <c r="X398" t="inlineStr">
        <is>
          <t>1992-06-04</t>
        </is>
      </c>
      <c r="Y398" t="n">
        <v>110</v>
      </c>
      <c r="Z398" t="n">
        <v>81</v>
      </c>
      <c r="AA398" t="n">
        <v>83</v>
      </c>
      <c r="AB398" t="n">
        <v>1</v>
      </c>
      <c r="AC398" t="n">
        <v>1</v>
      </c>
      <c r="AD398" t="n">
        <v>2</v>
      </c>
      <c r="AE398" t="n">
        <v>2</v>
      </c>
      <c r="AF398" t="n">
        <v>0</v>
      </c>
      <c r="AG398" t="n">
        <v>0</v>
      </c>
      <c r="AH398" t="n">
        <v>1</v>
      </c>
      <c r="AI398" t="n">
        <v>1</v>
      </c>
      <c r="AJ398" t="n">
        <v>2</v>
      </c>
      <c r="AK398" t="n">
        <v>2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HYPERLINK("http://catalog.hathitrust.org/Record/002216158","HathiTrust Record")</f>
        <v/>
      </c>
      <c r="AS398">
        <f>HYPERLINK("https://creighton-primo.hosted.exlibrisgroup.com/primo-explore/search?tab=default_tab&amp;search_scope=EVERYTHING&amp;vid=01CRU&amp;lang=en_US&amp;offset=0&amp;query=any,contains,991001305309702656","Catalog Record")</f>
        <v/>
      </c>
      <c r="AT398">
        <f>HYPERLINK("http://www.worldcat.org/oclc/22006068","WorldCat Record")</f>
        <v/>
      </c>
    </row>
    <row r="399">
      <c r="A399" t="inlineStr">
        <is>
          <t>No</t>
        </is>
      </c>
      <c r="B399" t="inlineStr">
        <is>
          <t>QV 81 N731 1985</t>
        </is>
      </c>
      <c r="C399" t="inlineStr">
        <is>
          <t>0                      QV 0081000N  731         1985</t>
        </is>
      </c>
      <c r="D399" t="inlineStr">
        <is>
          <t>Nitrous oxide/NO2 / edited by Edmond I. Eger II.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Elsevier, c1985.</t>
        </is>
      </c>
      <c r="M399" t="inlineStr">
        <is>
          <t>1985</t>
        </is>
      </c>
      <c r="O399" t="inlineStr">
        <is>
          <t>eng</t>
        </is>
      </c>
      <c r="P399" t="inlineStr">
        <is>
          <t xml:space="preserve">xx </t>
        </is>
      </c>
      <c r="R399" t="inlineStr">
        <is>
          <t xml:space="preserve">QV </t>
        </is>
      </c>
      <c r="S399" t="n">
        <v>11</v>
      </c>
      <c r="T399" t="n">
        <v>11</v>
      </c>
      <c r="U399" t="inlineStr">
        <is>
          <t>2009-05-18</t>
        </is>
      </c>
      <c r="V399" t="inlineStr">
        <is>
          <t>2009-05-18</t>
        </is>
      </c>
      <c r="W399" t="inlineStr">
        <is>
          <t>1988-02-08</t>
        </is>
      </c>
      <c r="X399" t="inlineStr">
        <is>
          <t>1988-02-08</t>
        </is>
      </c>
      <c r="Y399" t="n">
        <v>141</v>
      </c>
      <c r="Z399" t="n">
        <v>126</v>
      </c>
      <c r="AA399" t="n">
        <v>133</v>
      </c>
      <c r="AB399" t="n">
        <v>1</v>
      </c>
      <c r="AC399" t="n">
        <v>1</v>
      </c>
      <c r="AD399" t="n">
        <v>2</v>
      </c>
      <c r="AE399" t="n">
        <v>2</v>
      </c>
      <c r="AF399" t="n">
        <v>1</v>
      </c>
      <c r="AG399" t="n">
        <v>1</v>
      </c>
      <c r="AH399" t="n">
        <v>0</v>
      </c>
      <c r="AI399" t="n">
        <v>0</v>
      </c>
      <c r="AJ399" t="n">
        <v>1</v>
      </c>
      <c r="AK399" t="n">
        <v>1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HYPERLINK("http://catalog.hathitrust.org/Record/000286979","HathiTrust Record")</f>
        <v/>
      </c>
      <c r="AS399">
        <f>HYPERLINK("https://creighton-primo.hosted.exlibrisgroup.com/primo-explore/search?tab=default_tab&amp;search_scope=EVERYTHING&amp;vid=01CRU&amp;lang=en_US&amp;offset=0&amp;query=any,contains,991000958779702656","Catalog Record")</f>
        <v/>
      </c>
      <c r="AT399">
        <f>HYPERLINK("http://www.worldcat.org/oclc/10726873","WorldCat Record")</f>
        <v/>
      </c>
    </row>
    <row r="400">
      <c r="A400" t="inlineStr">
        <is>
          <t>No</t>
        </is>
      </c>
      <c r="B400" t="inlineStr">
        <is>
          <t>QV 81 S872p 1999</t>
        </is>
      </c>
      <c r="C400" t="inlineStr">
        <is>
          <t>0                      QV 0081000S  872p        1999</t>
        </is>
      </c>
      <c r="D400" t="inlineStr">
        <is>
          <t>Pharmacology and physiology in anesthetic practice / Robert K. Stoelting.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Yes</t>
        </is>
      </c>
      <c r="J400" t="inlineStr">
        <is>
          <t>0</t>
        </is>
      </c>
      <c r="K400" t="inlineStr">
        <is>
          <t>Stoelting, Robert K.</t>
        </is>
      </c>
      <c r="L400" t="inlineStr">
        <is>
          <t>Philadelphia : Lippincott-Raven, c1999.</t>
        </is>
      </c>
      <c r="M400" t="inlineStr">
        <is>
          <t>1999</t>
        </is>
      </c>
      <c r="N400" t="inlineStr">
        <is>
          <t>3rd ed.</t>
        </is>
      </c>
      <c r="O400" t="inlineStr">
        <is>
          <t>eng</t>
        </is>
      </c>
      <c r="P400" t="inlineStr">
        <is>
          <t>pau</t>
        </is>
      </c>
      <c r="R400" t="inlineStr">
        <is>
          <t xml:space="preserve">QV </t>
        </is>
      </c>
      <c r="S400" t="n">
        <v>4</v>
      </c>
      <c r="T400" t="n">
        <v>4</v>
      </c>
      <c r="U400" t="inlineStr">
        <is>
          <t>1999-11-04</t>
        </is>
      </c>
      <c r="V400" t="inlineStr">
        <is>
          <t>1999-11-04</t>
        </is>
      </c>
      <c r="W400" t="inlineStr">
        <is>
          <t>1999-11-04</t>
        </is>
      </c>
      <c r="X400" t="inlineStr">
        <is>
          <t>1999-11-04</t>
        </is>
      </c>
      <c r="Y400" t="n">
        <v>159</v>
      </c>
      <c r="Z400" t="n">
        <v>118</v>
      </c>
      <c r="AA400" t="n">
        <v>298</v>
      </c>
      <c r="AB400" t="n">
        <v>1</v>
      </c>
      <c r="AC400" t="n">
        <v>3</v>
      </c>
      <c r="AD400" t="n">
        <v>3</v>
      </c>
      <c r="AE400" t="n">
        <v>13</v>
      </c>
      <c r="AF400" t="n">
        <v>0</v>
      </c>
      <c r="AG400" t="n">
        <v>5</v>
      </c>
      <c r="AH400" t="n">
        <v>1</v>
      </c>
      <c r="AI400" t="n">
        <v>3</v>
      </c>
      <c r="AJ400" t="n">
        <v>2</v>
      </c>
      <c r="AK400" t="n">
        <v>4</v>
      </c>
      <c r="AL400" t="n">
        <v>0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HYPERLINK("https://creighton-primo.hosted.exlibrisgroup.com/primo-explore/search?tab=default_tab&amp;search_scope=EVERYTHING&amp;vid=01CRU&amp;lang=en_US&amp;offset=0&amp;query=any,contains,991001408299702656","Catalog Record")</f>
        <v/>
      </c>
      <c r="AT400">
        <f>HYPERLINK("http://www.worldcat.org/oclc/39399630","WorldCat Record")</f>
        <v/>
      </c>
    </row>
    <row r="401">
      <c r="A401" t="inlineStr">
        <is>
          <t>No</t>
        </is>
      </c>
      <c r="B401" t="inlineStr">
        <is>
          <t>QV 81 S872p 2006</t>
        </is>
      </c>
      <c r="C401" t="inlineStr">
        <is>
          <t>0                      QV 0081000S  872p        2006</t>
        </is>
      </c>
      <c r="D401" t="inlineStr">
        <is>
          <t>Pharmacology &amp; physiology in anesthetic practice / [edited by] Robert K. Stoelting, Simon C. Hillier.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Yes</t>
        </is>
      </c>
      <c r="J401" t="inlineStr">
        <is>
          <t>0</t>
        </is>
      </c>
      <c r="L401" t="inlineStr">
        <is>
          <t>Philadelphia : Lippincott Williams &amp; Wilkins, c2006.</t>
        </is>
      </c>
      <c r="M401" t="inlineStr">
        <is>
          <t>2006</t>
        </is>
      </c>
      <c r="N401" t="inlineStr">
        <is>
          <t>4th ed.</t>
        </is>
      </c>
      <c r="O401" t="inlineStr">
        <is>
          <t>eng</t>
        </is>
      </c>
      <c r="P401" t="inlineStr">
        <is>
          <t>pau</t>
        </is>
      </c>
      <c r="R401" t="inlineStr">
        <is>
          <t xml:space="preserve">QV </t>
        </is>
      </c>
      <c r="S401" t="n">
        <v>0</v>
      </c>
      <c r="T401" t="n">
        <v>0</v>
      </c>
      <c r="U401" t="inlineStr">
        <is>
          <t>2007-02-09</t>
        </is>
      </c>
      <c r="V401" t="inlineStr">
        <is>
          <t>2007-02-09</t>
        </is>
      </c>
      <c r="W401" t="inlineStr">
        <is>
          <t>2007-02-08</t>
        </is>
      </c>
      <c r="X401" t="inlineStr">
        <is>
          <t>2007-02-08</t>
        </is>
      </c>
      <c r="Y401" t="n">
        <v>251</v>
      </c>
      <c r="Z401" t="n">
        <v>154</v>
      </c>
      <c r="AA401" t="n">
        <v>298</v>
      </c>
      <c r="AB401" t="n">
        <v>3</v>
      </c>
      <c r="AC401" t="n">
        <v>3</v>
      </c>
      <c r="AD401" t="n">
        <v>10</v>
      </c>
      <c r="AE401" t="n">
        <v>13</v>
      </c>
      <c r="AF401" t="n">
        <v>5</v>
      </c>
      <c r="AG401" t="n">
        <v>5</v>
      </c>
      <c r="AH401" t="n">
        <v>1</v>
      </c>
      <c r="AI401" t="n">
        <v>3</v>
      </c>
      <c r="AJ401" t="n">
        <v>3</v>
      </c>
      <c r="AK401" t="n">
        <v>4</v>
      </c>
      <c r="AL401" t="n">
        <v>2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HYPERLINK("https://creighton-primo.hosted.exlibrisgroup.com/primo-explore/search?tab=default_tab&amp;search_scope=EVERYTHING&amp;vid=01CRU&amp;lang=en_US&amp;offset=0&amp;query=any,contains,991000593409702656","Catalog Record")</f>
        <v/>
      </c>
      <c r="AT401">
        <f>HYPERLINK("http://www.worldcat.org/oclc/60903259","WorldCat Record")</f>
        <v/>
      </c>
    </row>
    <row r="402">
      <c r="A402" t="inlineStr">
        <is>
          <t>No</t>
        </is>
      </c>
      <c r="B402" t="inlineStr">
        <is>
          <t>QV 84 A3546 1985</t>
        </is>
      </c>
      <c r="C402" t="inlineStr">
        <is>
          <t>0                      QV 0084000A  3546        1985</t>
        </is>
      </c>
      <c r="D402" t="inlineStr">
        <is>
          <t>Alcohol related diseases in gastroenterology / edited by H.K. Seitz and B. Kommerell.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Berlin ; New York : Springer-Verlag, c1985.</t>
        </is>
      </c>
      <c r="M402" t="inlineStr">
        <is>
          <t>1985</t>
        </is>
      </c>
      <c r="O402" t="inlineStr">
        <is>
          <t>eng</t>
        </is>
      </c>
      <c r="P402" t="inlineStr">
        <is>
          <t xml:space="preserve">xx </t>
        </is>
      </c>
      <c r="R402" t="inlineStr">
        <is>
          <t xml:space="preserve">QV </t>
        </is>
      </c>
      <c r="S402" t="n">
        <v>7</v>
      </c>
      <c r="T402" t="n">
        <v>7</v>
      </c>
      <c r="U402" t="inlineStr">
        <is>
          <t>1995-04-22</t>
        </is>
      </c>
      <c r="V402" t="inlineStr">
        <is>
          <t>1995-04-22</t>
        </is>
      </c>
      <c r="W402" t="inlineStr">
        <is>
          <t>1988-02-08</t>
        </is>
      </c>
      <c r="X402" t="inlineStr">
        <is>
          <t>1988-02-08</t>
        </is>
      </c>
      <c r="Y402" t="n">
        <v>104</v>
      </c>
      <c r="Z402" t="n">
        <v>79</v>
      </c>
      <c r="AA402" t="n">
        <v>102</v>
      </c>
      <c r="AB402" t="n">
        <v>1</v>
      </c>
      <c r="AC402" t="n">
        <v>1</v>
      </c>
      <c r="AD402" t="n">
        <v>1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HYPERLINK("http://catalog.hathitrust.org/Record/000612400","HathiTrust Record")</f>
        <v/>
      </c>
      <c r="AS402">
        <f>HYPERLINK("https://creighton-primo.hosted.exlibrisgroup.com/primo-explore/search?tab=default_tab&amp;search_scope=EVERYTHING&amp;vid=01CRU&amp;lang=en_US&amp;offset=0&amp;query=any,contains,991000958699702656","Catalog Record")</f>
        <v/>
      </c>
      <c r="AT402">
        <f>HYPERLINK("http://www.worldcat.org/oclc/11784407","WorldCat Record")</f>
        <v/>
      </c>
    </row>
    <row r="403">
      <c r="A403" t="inlineStr">
        <is>
          <t>No</t>
        </is>
      </c>
      <c r="B403" t="inlineStr">
        <is>
          <t>QV 84 A427a 1900</t>
        </is>
      </c>
      <c r="C403" t="inlineStr">
        <is>
          <t>0                      QV 0084000A  427a        1900</t>
        </is>
      </c>
      <c r="D403" t="inlineStr">
        <is>
          <t>Alcohol, a dangerous and unnecessary medicine : how and why; what medical writers say / by Martha M. Allen.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Allen, Martha M. (Martha Meir), 1854-1926.</t>
        </is>
      </c>
      <c r="L403" t="inlineStr">
        <is>
          <t>Marcellus, N. Y. : National Woman's Christian Temperance Union c1900.</t>
        </is>
      </c>
      <c r="M403" t="inlineStr">
        <is>
          <t>1900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QV </t>
        </is>
      </c>
      <c r="S403" t="n">
        <v>3</v>
      </c>
      <c r="T403" t="n">
        <v>3</v>
      </c>
      <c r="U403" t="inlineStr">
        <is>
          <t>1995-04-05</t>
        </is>
      </c>
      <c r="V403" t="inlineStr">
        <is>
          <t>1995-04-05</t>
        </is>
      </c>
      <c r="W403" t="inlineStr">
        <is>
          <t>1988-02-08</t>
        </is>
      </c>
      <c r="X403" t="inlineStr">
        <is>
          <t>1988-02-08</t>
        </is>
      </c>
      <c r="Y403" t="n">
        <v>65</v>
      </c>
      <c r="Z403" t="n">
        <v>57</v>
      </c>
      <c r="AA403" t="n">
        <v>141</v>
      </c>
      <c r="AB403" t="n">
        <v>1</v>
      </c>
      <c r="AC403" t="n">
        <v>2</v>
      </c>
      <c r="AD403" t="n">
        <v>3</v>
      </c>
      <c r="AE403" t="n">
        <v>5</v>
      </c>
      <c r="AF403" t="n">
        <v>1</v>
      </c>
      <c r="AG403" t="n">
        <v>1</v>
      </c>
      <c r="AH403" t="n">
        <v>2</v>
      </c>
      <c r="AI403" t="n">
        <v>3</v>
      </c>
      <c r="AJ403" t="n">
        <v>0</v>
      </c>
      <c r="AK403" t="n">
        <v>0</v>
      </c>
      <c r="AL403" t="n">
        <v>0</v>
      </c>
      <c r="AM403" t="n">
        <v>1</v>
      </c>
      <c r="AN403" t="n">
        <v>0</v>
      </c>
      <c r="AO403" t="n">
        <v>0</v>
      </c>
      <c r="AP403" t="inlineStr">
        <is>
          <t>Yes</t>
        </is>
      </c>
      <c r="AQ403" t="inlineStr">
        <is>
          <t>No</t>
        </is>
      </c>
      <c r="AR403">
        <f>HYPERLINK("http://catalog.hathitrust.org/Record/002081540","HathiTrust Record")</f>
        <v/>
      </c>
      <c r="AS403">
        <f>HYPERLINK("https://creighton-primo.hosted.exlibrisgroup.com/primo-explore/search?tab=default_tab&amp;search_scope=EVERYTHING&amp;vid=01CRU&amp;lang=en_US&amp;offset=0&amp;query=any,contains,991000958609702656","Catalog Record")</f>
        <v/>
      </c>
      <c r="AT403">
        <f>HYPERLINK("http://www.worldcat.org/oclc/3595867","WorldCat Record")</f>
        <v/>
      </c>
    </row>
    <row r="404">
      <c r="A404" t="inlineStr">
        <is>
          <t>No</t>
        </is>
      </c>
      <c r="B404" t="inlineStr">
        <is>
          <t>QV 84 B616 1979</t>
        </is>
      </c>
      <c r="C404" t="inlineStr">
        <is>
          <t>0                      QV 0084000B  616         1979</t>
        </is>
      </c>
      <c r="D404" t="inlineStr">
        <is>
          <t>Biochemistry and pharmacology of ethanol / edited by Edward Majchrowicz and Ernest P. Noble.</t>
        </is>
      </c>
      <c r="E404" t="inlineStr">
        <is>
          <t>V. 1</t>
        </is>
      </c>
      <c r="F404" t="inlineStr">
        <is>
          <t>Yes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New York : Plenum Press, c1979.</t>
        </is>
      </c>
      <c r="M404" t="inlineStr">
        <is>
          <t>1979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QV </t>
        </is>
      </c>
      <c r="S404" t="n">
        <v>7</v>
      </c>
      <c r="T404" t="n">
        <v>16</v>
      </c>
      <c r="U404" t="inlineStr">
        <is>
          <t>1995-04-05</t>
        </is>
      </c>
      <c r="V404" t="inlineStr">
        <is>
          <t>1995-04-05</t>
        </is>
      </c>
      <c r="W404" t="inlineStr">
        <is>
          <t>1988-02-08</t>
        </is>
      </c>
      <c r="X404" t="inlineStr">
        <is>
          <t>1988-02-08</t>
        </is>
      </c>
      <c r="Y404" t="n">
        <v>284</v>
      </c>
      <c r="Z404" t="n">
        <v>215</v>
      </c>
      <c r="AA404" t="n">
        <v>218</v>
      </c>
      <c r="AB404" t="n">
        <v>2</v>
      </c>
      <c r="AC404" t="n">
        <v>2</v>
      </c>
      <c r="AD404" t="n">
        <v>8</v>
      </c>
      <c r="AE404" t="n">
        <v>8</v>
      </c>
      <c r="AF404" t="n">
        <v>2</v>
      </c>
      <c r="AG404" t="n">
        <v>2</v>
      </c>
      <c r="AH404" t="n">
        <v>2</v>
      </c>
      <c r="AI404" t="n">
        <v>2</v>
      </c>
      <c r="AJ404" t="n">
        <v>5</v>
      </c>
      <c r="AK404" t="n">
        <v>5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HYPERLINK("http://catalog.hathitrust.org/Record/000259893","HathiTrust Record")</f>
        <v/>
      </c>
      <c r="AS404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T404">
        <f>HYPERLINK("http://www.worldcat.org/oclc/4638224","WorldCat Record")</f>
        <v/>
      </c>
    </row>
    <row r="405">
      <c r="A405" t="inlineStr">
        <is>
          <t>No</t>
        </is>
      </c>
      <c r="B405" t="inlineStr">
        <is>
          <t>QV 84 B616 1979</t>
        </is>
      </c>
      <c r="C405" t="inlineStr">
        <is>
          <t>0                      QV 0084000B  616         1979</t>
        </is>
      </c>
      <c r="D405" t="inlineStr">
        <is>
          <t>Biochemistry and pharmacology of ethanol / edited by Edward Majchrowicz and Ernest P. Noble.</t>
        </is>
      </c>
      <c r="E405" t="inlineStr">
        <is>
          <t>V. 2</t>
        </is>
      </c>
      <c r="F405" t="inlineStr">
        <is>
          <t>Yes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New York : Plenum Press, c1979.</t>
        </is>
      </c>
      <c r="M405" t="inlineStr">
        <is>
          <t>1979</t>
        </is>
      </c>
      <c r="O405" t="inlineStr">
        <is>
          <t>eng</t>
        </is>
      </c>
      <c r="P405" t="inlineStr">
        <is>
          <t>nyu</t>
        </is>
      </c>
      <c r="R405" t="inlineStr">
        <is>
          <t xml:space="preserve">QV </t>
        </is>
      </c>
      <c r="S405" t="n">
        <v>9</v>
      </c>
      <c r="T405" t="n">
        <v>16</v>
      </c>
      <c r="U405" t="inlineStr">
        <is>
          <t>1995-04-05</t>
        </is>
      </c>
      <c r="V405" t="inlineStr">
        <is>
          <t>1995-04-05</t>
        </is>
      </c>
      <c r="W405" t="inlineStr">
        <is>
          <t>1988-02-08</t>
        </is>
      </c>
      <c r="X405" t="inlineStr">
        <is>
          <t>1988-02-08</t>
        </is>
      </c>
      <c r="Y405" t="n">
        <v>284</v>
      </c>
      <c r="Z405" t="n">
        <v>215</v>
      </c>
      <c r="AA405" t="n">
        <v>218</v>
      </c>
      <c r="AB405" t="n">
        <v>2</v>
      </c>
      <c r="AC405" t="n">
        <v>2</v>
      </c>
      <c r="AD405" t="n">
        <v>8</v>
      </c>
      <c r="AE405" t="n">
        <v>8</v>
      </c>
      <c r="AF405" t="n">
        <v>2</v>
      </c>
      <c r="AG405" t="n">
        <v>2</v>
      </c>
      <c r="AH405" t="n">
        <v>2</v>
      </c>
      <c r="AI405" t="n">
        <v>2</v>
      </c>
      <c r="AJ405" t="n">
        <v>5</v>
      </c>
      <c r="AK405" t="n">
        <v>5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HYPERLINK("http://catalog.hathitrust.org/Record/000259893","HathiTrust Record")</f>
        <v/>
      </c>
      <c r="AS405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T405">
        <f>HYPERLINK("http://www.worldcat.org/oclc/4638224","WorldCat Record")</f>
        <v/>
      </c>
    </row>
    <row r="406">
      <c r="A406" t="inlineStr">
        <is>
          <t>No</t>
        </is>
      </c>
      <c r="B406" t="inlineStr">
        <is>
          <t>QV 84 G624p 1983</t>
        </is>
      </c>
      <c r="C406" t="inlineStr">
        <is>
          <t>0                      QV 0084000G  624p        1983</t>
        </is>
      </c>
      <c r="D406" t="inlineStr">
        <is>
          <t>Pharmacology of alcohol / Dora B. Goldstein.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Goldstein, Dora B.</t>
        </is>
      </c>
      <c r="L406" t="inlineStr">
        <is>
          <t>New York : Oxford University Press, c1983.</t>
        </is>
      </c>
      <c r="M406" t="inlineStr">
        <is>
          <t>1983</t>
        </is>
      </c>
      <c r="O406" t="inlineStr">
        <is>
          <t>eng</t>
        </is>
      </c>
      <c r="P406" t="inlineStr">
        <is>
          <t>xxu</t>
        </is>
      </c>
      <c r="R406" t="inlineStr">
        <is>
          <t xml:space="preserve">QV </t>
        </is>
      </c>
      <c r="S406" t="n">
        <v>10</v>
      </c>
      <c r="T406" t="n">
        <v>10</v>
      </c>
      <c r="U406" t="inlineStr">
        <is>
          <t>1995-04-05</t>
        </is>
      </c>
      <c r="V406" t="inlineStr">
        <is>
          <t>1995-04-05</t>
        </is>
      </c>
      <c r="W406" t="inlineStr">
        <is>
          <t>1988-02-08</t>
        </is>
      </c>
      <c r="X406" t="inlineStr">
        <is>
          <t>1988-02-08</t>
        </is>
      </c>
      <c r="Y406" t="n">
        <v>316</v>
      </c>
      <c r="Z406" t="n">
        <v>262</v>
      </c>
      <c r="AA406" t="n">
        <v>269</v>
      </c>
      <c r="AB406" t="n">
        <v>2</v>
      </c>
      <c r="AC406" t="n">
        <v>2</v>
      </c>
      <c r="AD406" t="n">
        <v>11</v>
      </c>
      <c r="AE406" t="n">
        <v>11</v>
      </c>
      <c r="AF406" t="n">
        <v>4</v>
      </c>
      <c r="AG406" t="n">
        <v>4</v>
      </c>
      <c r="AH406" t="n">
        <v>3</v>
      </c>
      <c r="AI406" t="n">
        <v>3</v>
      </c>
      <c r="AJ406" t="n">
        <v>7</v>
      </c>
      <c r="AK406" t="n">
        <v>7</v>
      </c>
      <c r="AL406" t="n">
        <v>1</v>
      </c>
      <c r="AM406" t="n">
        <v>1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HYPERLINK("http://catalog.hathitrust.org/Record/000205220","HathiTrust Record")</f>
        <v/>
      </c>
      <c r="AS406">
        <f>HYPERLINK("https://creighton-primo.hosted.exlibrisgroup.com/primo-explore/search?tab=default_tab&amp;search_scope=EVERYTHING&amp;vid=01CRU&amp;lang=en_US&amp;offset=0&amp;query=any,contains,991000958569702656","Catalog Record")</f>
        <v/>
      </c>
      <c r="AT406">
        <f>HYPERLINK("http://www.worldcat.org/oclc/8452085","WorldCat Record")</f>
        <v/>
      </c>
    </row>
    <row r="407">
      <c r="A407" t="inlineStr">
        <is>
          <t>No</t>
        </is>
      </c>
      <c r="B407" t="inlineStr">
        <is>
          <t>QV 84 M4895 1988</t>
        </is>
      </c>
      <c r="C407" t="inlineStr">
        <is>
          <t>0                      QV 0084000M  4895        1988</t>
        </is>
      </c>
      <c r="D407" t="inlineStr">
        <is>
          <t>Medicolegal aspects of alcohol determination in biological specimens / edited by James C. Garriott.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Yes</t>
        </is>
      </c>
      <c r="J407" t="inlineStr">
        <is>
          <t>0</t>
        </is>
      </c>
      <c r="L407" t="inlineStr">
        <is>
          <t>Littleton, Mass. : PSG Pub. Co., c1988.</t>
        </is>
      </c>
      <c r="M407" t="inlineStr">
        <is>
          <t>1988</t>
        </is>
      </c>
      <c r="O407" t="inlineStr">
        <is>
          <t>eng</t>
        </is>
      </c>
      <c r="P407" t="inlineStr">
        <is>
          <t>xxu</t>
        </is>
      </c>
      <c r="R407" t="inlineStr">
        <is>
          <t xml:space="preserve">QV </t>
        </is>
      </c>
      <c r="S407" t="n">
        <v>11</v>
      </c>
      <c r="T407" t="n">
        <v>11</v>
      </c>
      <c r="U407" t="inlineStr">
        <is>
          <t>2008-12-17</t>
        </is>
      </c>
      <c r="V407" t="inlineStr">
        <is>
          <t>2008-12-17</t>
        </is>
      </c>
      <c r="W407" t="inlineStr">
        <is>
          <t>1989-08-10</t>
        </is>
      </c>
      <c r="X407" t="inlineStr">
        <is>
          <t>1989-08-10</t>
        </is>
      </c>
      <c r="Y407" t="n">
        <v>85</v>
      </c>
      <c r="Z407" t="n">
        <v>65</v>
      </c>
      <c r="AA407" t="n">
        <v>88</v>
      </c>
      <c r="AB407" t="n">
        <v>1</v>
      </c>
      <c r="AC407" t="n">
        <v>2</v>
      </c>
      <c r="AD407" t="n">
        <v>1</v>
      </c>
      <c r="AE407" t="n">
        <v>5</v>
      </c>
      <c r="AF407" t="n">
        <v>0</v>
      </c>
      <c r="AG407" t="n">
        <v>1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1</v>
      </c>
      <c r="AO407" t="n">
        <v>4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HYPERLINK("https://creighton-primo.hosted.exlibrisgroup.com/primo-explore/search?tab=default_tab&amp;search_scope=EVERYTHING&amp;vid=01CRU&amp;lang=en_US&amp;offset=0&amp;query=any,contains,991001313169702656","Catalog Record")</f>
        <v/>
      </c>
      <c r="AT407">
        <f>HYPERLINK("http://www.worldcat.org/oclc/15017114","WorldCat Record")</f>
        <v/>
      </c>
    </row>
    <row r="408">
      <c r="A408" t="inlineStr">
        <is>
          <t>No</t>
        </is>
      </c>
      <c r="B408" t="inlineStr">
        <is>
          <t>QV 85 A628 1995</t>
        </is>
      </c>
      <c r="C408" t="inlineStr">
        <is>
          <t>0                      QV 0085000A  628         1995</t>
        </is>
      </c>
      <c r="D408" t="inlineStr">
        <is>
          <t>Antiepileptic drugs / editors, René H. Levy, Richard H. Mattson, Brian S. Meldrum ; consulting editors, Fritz E. Dreifuss, J. Kiffin Penry ; associate editor, B.J. Hessie.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New York : Raven Press, c1995.</t>
        </is>
      </c>
      <c r="M408" t="inlineStr">
        <is>
          <t>1995</t>
        </is>
      </c>
      <c r="N408" t="inlineStr">
        <is>
          <t>4th ed.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QV </t>
        </is>
      </c>
      <c r="S408" t="n">
        <v>16</v>
      </c>
      <c r="T408" t="n">
        <v>16</v>
      </c>
      <c r="U408" t="inlineStr">
        <is>
          <t>2004-11-07</t>
        </is>
      </c>
      <c r="V408" t="inlineStr">
        <is>
          <t>2004-11-07</t>
        </is>
      </c>
      <c r="W408" t="inlineStr">
        <is>
          <t>1995-08-25</t>
        </is>
      </c>
      <c r="X408" t="inlineStr">
        <is>
          <t>1995-08-25</t>
        </is>
      </c>
      <c r="Y408" t="n">
        <v>129</v>
      </c>
      <c r="Z408" t="n">
        <v>90</v>
      </c>
      <c r="AA408" t="n">
        <v>621</v>
      </c>
      <c r="AB408" t="n">
        <v>1</v>
      </c>
      <c r="AC408" t="n">
        <v>6</v>
      </c>
      <c r="AD408" t="n">
        <v>3</v>
      </c>
      <c r="AE408" t="n">
        <v>29</v>
      </c>
      <c r="AF408" t="n">
        <v>1</v>
      </c>
      <c r="AG408" t="n">
        <v>10</v>
      </c>
      <c r="AH408" t="n">
        <v>1</v>
      </c>
      <c r="AI408" t="n">
        <v>8</v>
      </c>
      <c r="AJ408" t="n">
        <v>2</v>
      </c>
      <c r="AK408" t="n">
        <v>10</v>
      </c>
      <c r="AL408" t="n">
        <v>0</v>
      </c>
      <c r="AM408" t="n">
        <v>5</v>
      </c>
      <c r="AN408" t="n">
        <v>0</v>
      </c>
      <c r="AO408" t="n">
        <v>1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HYPERLINK("https://creighton-primo.hosted.exlibrisgroup.com/primo-explore/search?tab=default_tab&amp;search_scope=EVERYTHING&amp;vid=01CRU&amp;lang=en_US&amp;offset=0&amp;query=any,contains,991001405329702656","Catalog Record")</f>
        <v/>
      </c>
      <c r="AT408">
        <f>HYPERLINK("http://www.worldcat.org/oclc/31754515","WorldCat Record")</f>
        <v/>
      </c>
    </row>
    <row r="409">
      <c r="A409" t="inlineStr">
        <is>
          <t>No</t>
        </is>
      </c>
      <c r="B409" t="inlineStr">
        <is>
          <t>QV 85 A6281 1999</t>
        </is>
      </c>
      <c r="C409" t="inlineStr">
        <is>
          <t>0                      QV 0085000A  6281        1999</t>
        </is>
      </c>
      <c r="D409" t="inlineStr">
        <is>
          <t>Antiepileptic drugs : pharmacology and therapeutics / contributors, E. Ben-Menachem ... [et al.] ; editors, M.J. Eadie and F.J.E. Vajda.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Berlin ; New York : Springer, c1999.</t>
        </is>
      </c>
      <c r="M409" t="inlineStr">
        <is>
          <t>1999</t>
        </is>
      </c>
      <c r="O409" t="inlineStr">
        <is>
          <t>eng</t>
        </is>
      </c>
      <c r="P409" t="inlineStr">
        <is>
          <t xml:space="preserve">gw </t>
        </is>
      </c>
      <c r="Q409" t="inlineStr">
        <is>
          <t>Handbook of experimental pharmacology ; v. 138</t>
        </is>
      </c>
      <c r="R409" t="inlineStr">
        <is>
          <t xml:space="preserve">QV </t>
        </is>
      </c>
      <c r="S409" t="n">
        <v>6</v>
      </c>
      <c r="T409" t="n">
        <v>6</v>
      </c>
      <c r="U409" t="inlineStr">
        <is>
          <t>2001-09-21</t>
        </is>
      </c>
      <c r="V409" t="inlineStr">
        <is>
          <t>2001-09-21</t>
        </is>
      </c>
      <c r="W409" t="inlineStr">
        <is>
          <t>2000-07-20</t>
        </is>
      </c>
      <c r="X409" t="inlineStr">
        <is>
          <t>2000-07-20</t>
        </is>
      </c>
      <c r="Y409" t="n">
        <v>128</v>
      </c>
      <c r="Z409" t="n">
        <v>72</v>
      </c>
      <c r="AA409" t="n">
        <v>107</v>
      </c>
      <c r="AB409" t="n">
        <v>1</v>
      </c>
      <c r="AC409" t="n">
        <v>1</v>
      </c>
      <c r="AD409" t="n">
        <v>3</v>
      </c>
      <c r="AE409" t="n">
        <v>5</v>
      </c>
      <c r="AF409" t="n">
        <v>0</v>
      </c>
      <c r="AG409" t="n">
        <v>1</v>
      </c>
      <c r="AH409" t="n">
        <v>3</v>
      </c>
      <c r="AI409" t="n">
        <v>3</v>
      </c>
      <c r="AJ409" t="n">
        <v>0</v>
      </c>
      <c r="AK409" t="n">
        <v>2</v>
      </c>
      <c r="AL409" t="n">
        <v>0</v>
      </c>
      <c r="AM409" t="n">
        <v>0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HYPERLINK("http://catalog.hathitrust.org/Record/003337442","HathiTrust Record")</f>
        <v/>
      </c>
      <c r="AS409">
        <f>HYPERLINK("https://creighton-primo.hosted.exlibrisgroup.com/primo-explore/search?tab=default_tab&amp;search_scope=EVERYTHING&amp;vid=01CRU&amp;lang=en_US&amp;offset=0&amp;query=any,contains,991000277069702656","Catalog Record")</f>
        <v/>
      </c>
      <c r="AT409">
        <f>HYPERLINK("http://www.worldcat.org/oclc/40698392","WorldCat Record")</f>
        <v/>
      </c>
    </row>
    <row r="410">
      <c r="A410" t="inlineStr">
        <is>
          <t>No</t>
        </is>
      </c>
      <c r="B410" t="inlineStr">
        <is>
          <t>QV 85 S349a 1982</t>
        </is>
      </c>
      <c r="C410" t="inlineStr">
        <is>
          <t>0                      QV 0085000S  349a        1982</t>
        </is>
      </c>
      <c r="D410" t="inlineStr">
        <is>
          <t>Adverse effects of antiepileptic drugs / Dieter Schmidt ; with the collaboration of Lee Seldon.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Schmidt, Dieter.</t>
        </is>
      </c>
      <c r="L410" t="inlineStr">
        <is>
          <t>New York : Raven,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xxu</t>
        </is>
      </c>
      <c r="R410" t="inlineStr">
        <is>
          <t xml:space="preserve">QV </t>
        </is>
      </c>
      <c r="S410" t="n">
        <v>9</v>
      </c>
      <c r="T410" t="n">
        <v>9</v>
      </c>
      <c r="U410" t="inlineStr">
        <is>
          <t>1995-11-17</t>
        </is>
      </c>
      <c r="V410" t="inlineStr">
        <is>
          <t>1995-11-17</t>
        </is>
      </c>
      <c r="W410" t="inlineStr">
        <is>
          <t>1988-02-08</t>
        </is>
      </c>
      <c r="X410" t="inlineStr">
        <is>
          <t>1988-02-08</t>
        </is>
      </c>
      <c r="Y410" t="n">
        <v>103</v>
      </c>
      <c r="Z410" t="n">
        <v>76</v>
      </c>
      <c r="AA410" t="n">
        <v>78</v>
      </c>
      <c r="AB410" t="n">
        <v>1</v>
      </c>
      <c r="AC410" t="n">
        <v>1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HYPERLINK("http://catalog.hathitrust.org/Record/000773463","HathiTrust Record")</f>
        <v/>
      </c>
      <c r="AS410">
        <f>HYPERLINK("https://creighton-primo.hosted.exlibrisgroup.com/primo-explore/search?tab=default_tab&amp;search_scope=EVERYTHING&amp;vid=01CRU&amp;lang=en_US&amp;offset=0&amp;query=any,contains,991000958539702656","Catalog Record")</f>
        <v/>
      </c>
      <c r="AT410">
        <f>HYPERLINK("http://www.worldcat.org/oclc/8668580","WorldCat Record")</f>
        <v/>
      </c>
    </row>
    <row r="411">
      <c r="A411" t="inlineStr">
        <is>
          <t>No</t>
        </is>
      </c>
      <c r="B411" t="inlineStr">
        <is>
          <t>QV 85 S643b 1988</t>
        </is>
      </c>
      <c r="C411" t="inlineStr">
        <is>
          <t>0                      QV 0085000S  643b        1988</t>
        </is>
      </c>
      <c r="D411" t="inlineStr">
        <is>
          <t>The broad range of clinical use of phenytoin : bioelectrical modulator : bibliography and review / Barry H. Smith, Samuel Bogoch, Jack Dreyfus.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Smith, Barry H.</t>
        </is>
      </c>
      <c r="L411" t="inlineStr">
        <is>
          <t>New York : Dreyfus Medical Foundation, c1988.</t>
        </is>
      </c>
      <c r="M411" t="inlineStr">
        <is>
          <t>1988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QV </t>
        </is>
      </c>
      <c r="S411" t="n">
        <v>5</v>
      </c>
      <c r="T411" t="n">
        <v>5</v>
      </c>
      <c r="U411" t="inlineStr">
        <is>
          <t>1995-11-15</t>
        </is>
      </c>
      <c r="V411" t="inlineStr">
        <is>
          <t>1995-11-15</t>
        </is>
      </c>
      <c r="W411" t="inlineStr">
        <is>
          <t>1988-07-02</t>
        </is>
      </c>
      <c r="X411" t="inlineStr">
        <is>
          <t>1988-07-02</t>
        </is>
      </c>
      <c r="Y411" t="n">
        <v>280</v>
      </c>
      <c r="Z411" t="n">
        <v>268</v>
      </c>
      <c r="AA411" t="n">
        <v>493</v>
      </c>
      <c r="AB411" t="n">
        <v>1</v>
      </c>
      <c r="AC411" t="n">
        <v>4</v>
      </c>
      <c r="AD411" t="n">
        <v>2</v>
      </c>
      <c r="AE411" t="n">
        <v>2</v>
      </c>
      <c r="AF411" t="n">
        <v>1</v>
      </c>
      <c r="AG411" t="n">
        <v>1</v>
      </c>
      <c r="AH411" t="n">
        <v>1</v>
      </c>
      <c r="AI411" t="n">
        <v>1</v>
      </c>
      <c r="AJ411" t="n">
        <v>1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HYPERLINK("http://catalog.hathitrust.org/Record/001096641","HathiTrust Record")</f>
        <v/>
      </c>
      <c r="AS411">
        <f>HYPERLINK("https://creighton-primo.hosted.exlibrisgroup.com/primo-explore/search?tab=default_tab&amp;search_scope=EVERYTHING&amp;vid=01CRU&amp;lang=en_US&amp;offset=0&amp;query=any,contains,991001416239702656","Catalog Record")</f>
        <v/>
      </c>
      <c r="AT411">
        <f>HYPERLINK("http://www.worldcat.org/oclc/19723895","WorldCat Record")</f>
        <v/>
      </c>
    </row>
    <row r="412">
      <c r="A412" t="inlineStr">
        <is>
          <t>No</t>
        </is>
      </c>
      <c r="B412" t="inlineStr">
        <is>
          <t>QV 89 06171 1987</t>
        </is>
      </c>
      <c r="C412" t="inlineStr">
        <is>
          <t>0                      QV 0089000                                                           06171 1987</t>
        </is>
      </c>
      <c r="D412" t="inlineStr">
        <is>
          <t>Opioid analgesia : recent advances in systemic administration / editors, Costantino Benedetti, C. Richard Chapman, Giampiero Giron.</t>
        </is>
      </c>
      <c r="E412" t="inlineStr">
        <is>
          <t>V. 14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New York : Raven Press, c1990.</t>
        </is>
      </c>
      <c r="M412" t="inlineStr">
        <is>
          <t>1990</t>
        </is>
      </c>
      <c r="O412" t="inlineStr">
        <is>
          <t>eng</t>
        </is>
      </c>
      <c r="P412" t="inlineStr">
        <is>
          <t>xxu</t>
        </is>
      </c>
      <c r="Q412" t="inlineStr">
        <is>
          <t>Advances in pain research and therapy ; v. 14</t>
        </is>
      </c>
      <c r="R412" t="inlineStr">
        <is>
          <t xml:space="preserve">QV </t>
        </is>
      </c>
      <c r="S412" t="n">
        <v>5</v>
      </c>
      <c r="T412" t="n">
        <v>5</v>
      </c>
      <c r="U412" t="inlineStr">
        <is>
          <t>2008-04-23</t>
        </is>
      </c>
      <c r="V412" t="inlineStr">
        <is>
          <t>2008-04-23</t>
        </is>
      </c>
      <c r="W412" t="inlineStr">
        <is>
          <t>1990-08-16</t>
        </is>
      </c>
      <c r="X412" t="inlineStr">
        <is>
          <t>1990-08-16</t>
        </is>
      </c>
      <c r="Y412" t="n">
        <v>119</v>
      </c>
      <c r="Z412" t="n">
        <v>86</v>
      </c>
      <c r="AA412" t="n">
        <v>86</v>
      </c>
      <c r="AB412" t="n">
        <v>1</v>
      </c>
      <c r="AC412" t="n">
        <v>1</v>
      </c>
      <c r="AD412" t="n">
        <v>4</v>
      </c>
      <c r="AE412" t="n">
        <v>4</v>
      </c>
      <c r="AF412" t="n">
        <v>0</v>
      </c>
      <c r="AG412" t="n">
        <v>0</v>
      </c>
      <c r="AH412" t="n">
        <v>2</v>
      </c>
      <c r="AI412" t="n">
        <v>2</v>
      </c>
      <c r="AJ412" t="n">
        <v>3</v>
      </c>
      <c r="AK412" t="n">
        <v>3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HYPERLINK("https://creighton-primo.hosted.exlibrisgroup.com/primo-explore/search?tab=default_tab&amp;search_scope=EVERYTHING&amp;vid=01CRU&amp;lang=en_US&amp;offset=0&amp;query=any,contains,991001453489702656","Catalog Record")</f>
        <v/>
      </c>
      <c r="AT412">
        <f>HYPERLINK("http://www.worldcat.org/oclc/20593692","WorldCat Record")</f>
        <v/>
      </c>
    </row>
    <row r="413">
      <c r="A413" t="inlineStr">
        <is>
          <t>No</t>
        </is>
      </c>
      <c r="B413" t="inlineStr">
        <is>
          <t>QV 89 F893o 1987</t>
        </is>
      </c>
      <c r="C413" t="inlineStr">
        <is>
          <t>0                      QV 0089000F  893o        1987</t>
        </is>
      </c>
      <c r="D413" t="inlineStr">
        <is>
          <t>Opioid agonists, antagonists, and mixed narcotic analgesics : theoretical background and considerations for practical use / Enno Freye.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Freye, E. (Enno)</t>
        </is>
      </c>
      <c r="L413" t="inlineStr">
        <is>
          <t>Berlin ; New York : Springer, c1987.</t>
        </is>
      </c>
      <c r="M413" t="inlineStr">
        <is>
          <t>1987</t>
        </is>
      </c>
      <c r="O413" t="inlineStr">
        <is>
          <t>eng</t>
        </is>
      </c>
      <c r="P413" t="inlineStr">
        <is>
          <t xml:space="preserve">gw </t>
        </is>
      </c>
      <c r="R413" t="inlineStr">
        <is>
          <t xml:space="preserve">QV </t>
        </is>
      </c>
      <c r="S413" t="n">
        <v>14</v>
      </c>
      <c r="T413" t="n">
        <v>14</v>
      </c>
      <c r="U413" t="inlineStr">
        <is>
          <t>2008-04-23</t>
        </is>
      </c>
      <c r="V413" t="inlineStr">
        <is>
          <t>2008-04-23</t>
        </is>
      </c>
      <c r="W413" t="inlineStr">
        <is>
          <t>1987-12-10</t>
        </is>
      </c>
      <c r="X413" t="inlineStr">
        <is>
          <t>1987-12-10</t>
        </is>
      </c>
      <c r="Y413" t="n">
        <v>64</v>
      </c>
      <c r="Z413" t="n">
        <v>47</v>
      </c>
      <c r="AA413" t="n">
        <v>67</v>
      </c>
      <c r="AB413" t="n">
        <v>1</v>
      </c>
      <c r="AC413" t="n">
        <v>1</v>
      </c>
      <c r="AD413" t="n">
        <v>1</v>
      </c>
      <c r="AE413" t="n">
        <v>1</v>
      </c>
      <c r="AF413" t="n">
        <v>0</v>
      </c>
      <c r="AG413" t="n">
        <v>0</v>
      </c>
      <c r="AH413" t="n">
        <v>1</v>
      </c>
      <c r="AI413" t="n">
        <v>1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HYPERLINK("http://catalog.hathitrust.org/Record/000874654","HathiTrust Record")</f>
        <v/>
      </c>
      <c r="AS413">
        <f>HYPERLINK("https://creighton-primo.hosted.exlibrisgroup.com/primo-explore/search?tab=default_tab&amp;search_scope=EVERYTHING&amp;vid=01CRU&amp;lang=en_US&amp;offset=0&amp;query=any,contains,991001532719702656","Catalog Record")</f>
        <v/>
      </c>
      <c r="AT413">
        <f>HYPERLINK("http://www.worldcat.org/oclc/17804962","WorldCat Record")</f>
        <v/>
      </c>
    </row>
    <row r="414">
      <c r="A414" t="inlineStr">
        <is>
          <t>No</t>
        </is>
      </c>
      <c r="B414" t="inlineStr">
        <is>
          <t>QV 89 L672p 1931</t>
        </is>
      </c>
      <c r="C414" t="inlineStr">
        <is>
          <t>0                      QV 0089000L  672p        1931</t>
        </is>
      </c>
      <c r="D414" t="inlineStr">
        <is>
          <t>Phantastica, narcotic and stimulating drugs : their use and abuse / by Louis Lewin.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Lewin, Louis.</t>
        </is>
      </c>
      <c r="L414" t="inlineStr">
        <is>
          <t>New York : E. P. Dutton &amp; Co, c1931.</t>
        </is>
      </c>
      <c r="M414" t="inlineStr">
        <is>
          <t>1931</t>
        </is>
      </c>
      <c r="O414" t="inlineStr">
        <is>
          <t>eng</t>
        </is>
      </c>
      <c r="P414" t="inlineStr">
        <is>
          <t>nyu</t>
        </is>
      </c>
      <c r="R414" t="inlineStr">
        <is>
          <t xml:space="preserve">QV </t>
        </is>
      </c>
      <c r="S414" t="n">
        <v>5</v>
      </c>
      <c r="T414" t="n">
        <v>5</v>
      </c>
      <c r="U414" t="inlineStr">
        <is>
          <t>2010-05-03</t>
        </is>
      </c>
      <c r="V414" t="inlineStr">
        <is>
          <t>2010-05-03</t>
        </is>
      </c>
      <c r="W414" t="inlineStr">
        <is>
          <t>1988-02-08</t>
        </is>
      </c>
      <c r="X414" t="inlineStr">
        <is>
          <t>1988-02-08</t>
        </is>
      </c>
      <c r="Y414" t="n">
        <v>64</v>
      </c>
      <c r="Z414" t="n">
        <v>52</v>
      </c>
      <c r="AA414" t="n">
        <v>201</v>
      </c>
      <c r="AB414" t="n">
        <v>1</v>
      </c>
      <c r="AC414" t="n">
        <v>2</v>
      </c>
      <c r="AD414" t="n">
        <v>1</v>
      </c>
      <c r="AE414" t="n">
        <v>5</v>
      </c>
      <c r="AF414" t="n">
        <v>0</v>
      </c>
      <c r="AG414" t="n">
        <v>2</v>
      </c>
      <c r="AH414" t="n">
        <v>1</v>
      </c>
      <c r="AI414" t="n">
        <v>1</v>
      </c>
      <c r="AJ414" t="n">
        <v>0</v>
      </c>
      <c r="AK414" t="n">
        <v>3</v>
      </c>
      <c r="AL414" t="n">
        <v>0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HYPERLINK("http://catalog.hathitrust.org/Record/001573075","HathiTrust Record")</f>
        <v/>
      </c>
      <c r="AS414">
        <f>HYPERLINK("https://creighton-primo.hosted.exlibrisgroup.com/primo-explore/search?tab=default_tab&amp;search_scope=EVERYTHING&amp;vid=01CRU&amp;lang=en_US&amp;offset=0&amp;query=any,contains,991000958499702656","Catalog Record")</f>
        <v/>
      </c>
      <c r="AT414">
        <f>HYPERLINK("http://www.worldcat.org/oclc/12967924","WorldCat Record")</f>
        <v/>
      </c>
    </row>
    <row r="415">
      <c r="A415" t="inlineStr">
        <is>
          <t>No</t>
        </is>
      </c>
      <c r="B415" t="inlineStr">
        <is>
          <t>QV 89 O613 1986</t>
        </is>
      </c>
      <c r="C415" t="inlineStr">
        <is>
          <t>0                      QV 0089000O  613         1986</t>
        </is>
      </c>
      <c r="D415" t="inlineStr">
        <is>
          <t>Opiates / George R. Lenz ... [et al.] ; with a chapter by Donna L. Hammond.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L415" t="inlineStr">
        <is>
          <t>Orlando : Academic Press, c1986.</t>
        </is>
      </c>
      <c r="M415" t="inlineStr">
        <is>
          <t>1986</t>
        </is>
      </c>
      <c r="O415" t="inlineStr">
        <is>
          <t>eng</t>
        </is>
      </c>
      <c r="P415" t="inlineStr">
        <is>
          <t>xxu</t>
        </is>
      </c>
      <c r="R415" t="inlineStr">
        <is>
          <t xml:space="preserve">QV </t>
        </is>
      </c>
      <c r="S415" t="n">
        <v>12</v>
      </c>
      <c r="T415" t="n">
        <v>12</v>
      </c>
      <c r="U415" t="inlineStr">
        <is>
          <t>2008-04-23</t>
        </is>
      </c>
      <c r="V415" t="inlineStr">
        <is>
          <t>2008-04-23</t>
        </is>
      </c>
      <c r="W415" t="inlineStr">
        <is>
          <t>1988-02-08</t>
        </is>
      </c>
      <c r="X415" t="inlineStr">
        <is>
          <t>1988-02-08</t>
        </is>
      </c>
      <c r="Y415" t="n">
        <v>131</v>
      </c>
      <c r="Z415" t="n">
        <v>98</v>
      </c>
      <c r="AA415" t="n">
        <v>101</v>
      </c>
      <c r="AB415" t="n">
        <v>1</v>
      </c>
      <c r="AC415" t="n">
        <v>1</v>
      </c>
      <c r="AD415" t="n">
        <v>3</v>
      </c>
      <c r="AE415" t="n">
        <v>3</v>
      </c>
      <c r="AF415" t="n">
        <v>1</v>
      </c>
      <c r="AG415" t="n">
        <v>1</v>
      </c>
      <c r="AH415" t="n">
        <v>2</v>
      </c>
      <c r="AI415" t="n">
        <v>2</v>
      </c>
      <c r="AJ415" t="n">
        <v>2</v>
      </c>
      <c r="AK415" t="n">
        <v>2</v>
      </c>
      <c r="AL415" t="n">
        <v>0</v>
      </c>
      <c r="AM415" t="n">
        <v>0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HYPERLINK("http://catalog.hathitrust.org/Record/000401306","HathiTrust Record")</f>
        <v/>
      </c>
      <c r="AS415">
        <f>HYPERLINK("https://creighton-primo.hosted.exlibrisgroup.com/primo-explore/search?tab=default_tab&amp;search_scope=EVERYTHING&amp;vid=01CRU&amp;lang=en_US&amp;offset=0&amp;query=any,contains,991000958429702656","Catalog Record")</f>
        <v/>
      </c>
      <c r="AT415">
        <f>HYPERLINK("http://www.worldcat.org/oclc/12550147","WorldCat Record")</f>
        <v/>
      </c>
    </row>
    <row r="416">
      <c r="A416" t="inlineStr">
        <is>
          <t>No</t>
        </is>
      </c>
      <c r="B416" t="inlineStr">
        <is>
          <t>QV 89 O6182 1991</t>
        </is>
      </c>
      <c r="C416" t="inlineStr">
        <is>
          <t>0                      QV 0089000O  6182        1991</t>
        </is>
      </c>
      <c r="D416" t="inlineStr">
        <is>
          <t>Opioids in anesthesia II / edited by Fawzy G. Estafanous ; with 50 contributing authors.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Boston : Butterworths, c1991.</t>
        </is>
      </c>
      <c r="M416" t="inlineStr">
        <is>
          <t>1991</t>
        </is>
      </c>
      <c r="O416" t="inlineStr">
        <is>
          <t>eng</t>
        </is>
      </c>
      <c r="P416" t="inlineStr">
        <is>
          <t>xxu</t>
        </is>
      </c>
      <c r="R416" t="inlineStr">
        <is>
          <t xml:space="preserve">QV </t>
        </is>
      </c>
      <c r="S416" t="n">
        <v>4</v>
      </c>
      <c r="T416" t="n">
        <v>4</v>
      </c>
      <c r="U416" t="inlineStr">
        <is>
          <t>1991-04-22</t>
        </is>
      </c>
      <c r="V416" t="inlineStr">
        <is>
          <t>1991-04-22</t>
        </is>
      </c>
      <c r="W416" t="inlineStr">
        <is>
          <t>1991-01-30</t>
        </is>
      </c>
      <c r="X416" t="inlineStr">
        <is>
          <t>1991-01-30</t>
        </is>
      </c>
      <c r="Y416" t="n">
        <v>65</v>
      </c>
      <c r="Z416" t="n">
        <v>57</v>
      </c>
      <c r="AA416" t="n">
        <v>72</v>
      </c>
      <c r="AB416" t="n">
        <v>1</v>
      </c>
      <c r="AC416" t="n">
        <v>1</v>
      </c>
      <c r="AD416" t="n">
        <v>1</v>
      </c>
      <c r="AE416" t="n">
        <v>1</v>
      </c>
      <c r="AF416" t="n">
        <v>0</v>
      </c>
      <c r="AG416" t="n">
        <v>0</v>
      </c>
      <c r="AH416" t="n">
        <v>1</v>
      </c>
      <c r="AI416" t="n">
        <v>1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HYPERLINK("http://catalog.hathitrust.org/Record/002228222","HathiTrust Record")</f>
        <v/>
      </c>
      <c r="AS416">
        <f>HYPERLINK("https://creighton-primo.hosted.exlibrisgroup.com/primo-explore/search?tab=default_tab&amp;search_scope=EVERYTHING&amp;vid=01CRU&amp;lang=en_US&amp;offset=0&amp;query=any,contains,991000816549702656","Catalog Record")</f>
        <v/>
      </c>
      <c r="AT416">
        <f>HYPERLINK("http://www.worldcat.org/oclc/20993285","WorldCat Record")</f>
        <v/>
      </c>
    </row>
    <row r="417">
      <c r="A417" t="inlineStr">
        <is>
          <t>No</t>
        </is>
      </c>
      <c r="B417" t="inlineStr">
        <is>
          <t>QV 90 R462m 1957</t>
        </is>
      </c>
      <c r="C417" t="inlineStr">
        <is>
          <t>0                      QV 0090000R  462m        1957</t>
        </is>
      </c>
      <c r="D417" t="inlineStr">
        <is>
          <t>Morphine &amp; allied drugs / A.K. Reynolds, Lowell O. Randall.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Reynolds, A. K. (Albert Keith)</t>
        </is>
      </c>
      <c r="L417" t="inlineStr">
        <is>
          <t>Toronto : University of Toronto Press, 1957.</t>
        </is>
      </c>
      <c r="M417" t="inlineStr">
        <is>
          <t>1957</t>
        </is>
      </c>
      <c r="O417" t="inlineStr">
        <is>
          <t>eng</t>
        </is>
      </c>
      <c r="P417" t="inlineStr">
        <is>
          <t>onc</t>
        </is>
      </c>
      <c r="R417" t="inlineStr">
        <is>
          <t xml:space="preserve">QV </t>
        </is>
      </c>
      <c r="S417" t="n">
        <v>6</v>
      </c>
      <c r="T417" t="n">
        <v>6</v>
      </c>
      <c r="U417" t="inlineStr">
        <is>
          <t>2008-04-23</t>
        </is>
      </c>
      <c r="V417" t="inlineStr">
        <is>
          <t>2008-04-23</t>
        </is>
      </c>
      <c r="W417" t="inlineStr">
        <is>
          <t>1988-03-17</t>
        </is>
      </c>
      <c r="X417" t="inlineStr">
        <is>
          <t>1988-03-17</t>
        </is>
      </c>
      <c r="Y417" t="n">
        <v>142</v>
      </c>
      <c r="Z417" t="n">
        <v>99</v>
      </c>
      <c r="AA417" t="n">
        <v>101</v>
      </c>
      <c r="AB417" t="n">
        <v>1</v>
      </c>
      <c r="AC417" t="n">
        <v>1</v>
      </c>
      <c r="AD417" t="n">
        <v>4</v>
      </c>
      <c r="AE417" t="n">
        <v>4</v>
      </c>
      <c r="AF417" t="n">
        <v>3</v>
      </c>
      <c r="AG417" t="n">
        <v>3</v>
      </c>
      <c r="AH417" t="n">
        <v>2</v>
      </c>
      <c r="AI417" t="n">
        <v>2</v>
      </c>
      <c r="AJ417" t="n">
        <v>1</v>
      </c>
      <c r="AK417" t="n">
        <v>1</v>
      </c>
      <c r="AL417" t="n">
        <v>0</v>
      </c>
      <c r="AM417" t="n">
        <v>0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R417">
        <f>HYPERLINK("http://catalog.hathitrust.org/Record/001573202","HathiTrust Record")</f>
        <v/>
      </c>
      <c r="AS417">
        <f>HYPERLINK("https://creighton-primo.hosted.exlibrisgroup.com/primo-explore/search?tab=default_tab&amp;search_scope=EVERYTHING&amp;vid=01CRU&amp;lang=en_US&amp;offset=0&amp;query=any,contains,991000958389702656","Catalog Record")</f>
        <v/>
      </c>
      <c r="AT417">
        <f>HYPERLINK("http://www.worldcat.org/oclc/1628783","WorldCat Record")</f>
        <v/>
      </c>
    </row>
    <row r="418">
      <c r="A418" t="inlineStr">
        <is>
          <t>No</t>
        </is>
      </c>
      <c r="B418" t="inlineStr">
        <is>
          <t>QV 95 A275 1971</t>
        </is>
      </c>
      <c r="C418" t="inlineStr">
        <is>
          <t>0                      QV 0095000A  275         1971</t>
        </is>
      </c>
      <c r="D418" t="inlineStr">
        <is>
          <t>Agonist and antagonist actions of narcotic analgesic drugs / Edited by H. W. Kosterlitz, H.O.J. Collier, and J.E. Villarreal.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Baltimore : University Park Press, [1973]</t>
        </is>
      </c>
      <c r="M418" t="inlineStr">
        <is>
          <t>1973</t>
        </is>
      </c>
      <c r="O418" t="inlineStr">
        <is>
          <t>eng</t>
        </is>
      </c>
      <c r="P418" t="inlineStr">
        <is>
          <t>mdu</t>
        </is>
      </c>
      <c r="R418" t="inlineStr">
        <is>
          <t xml:space="preserve">QV </t>
        </is>
      </c>
      <c r="S418" t="n">
        <v>11</v>
      </c>
      <c r="T418" t="n">
        <v>11</v>
      </c>
      <c r="U418" t="inlineStr">
        <is>
          <t>2008-04-23</t>
        </is>
      </c>
      <c r="V418" t="inlineStr">
        <is>
          <t>2008-04-23</t>
        </is>
      </c>
      <c r="W418" t="inlineStr">
        <is>
          <t>1988-03-17</t>
        </is>
      </c>
      <c r="X418" t="inlineStr">
        <is>
          <t>1988-03-17</t>
        </is>
      </c>
      <c r="Y418" t="n">
        <v>200</v>
      </c>
      <c r="Z418" t="n">
        <v>185</v>
      </c>
      <c r="AA418" t="n">
        <v>203</v>
      </c>
      <c r="AB418" t="n">
        <v>2</v>
      </c>
      <c r="AC418" t="n">
        <v>2</v>
      </c>
      <c r="AD418" t="n">
        <v>5</v>
      </c>
      <c r="AE418" t="n">
        <v>5</v>
      </c>
      <c r="AF418" t="n">
        <v>2</v>
      </c>
      <c r="AG418" t="n">
        <v>2</v>
      </c>
      <c r="AH418" t="n">
        <v>1</v>
      </c>
      <c r="AI418" t="n">
        <v>1</v>
      </c>
      <c r="AJ418" t="n">
        <v>2</v>
      </c>
      <c r="AK418" t="n">
        <v>2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HYPERLINK("http://catalog.hathitrust.org/Record/001573100","HathiTrust Record")</f>
        <v/>
      </c>
      <c r="AS418">
        <f>HYPERLINK("https://creighton-primo.hosted.exlibrisgroup.com/primo-explore/search?tab=default_tab&amp;search_scope=EVERYTHING&amp;vid=01CRU&amp;lang=en_US&amp;offset=0&amp;query=any,contains,991000959109702656","Catalog Record")</f>
        <v/>
      </c>
      <c r="AT418">
        <f>HYPERLINK("http://www.worldcat.org/oclc/516339","WorldCat Record")</f>
        <v/>
      </c>
    </row>
    <row r="419">
      <c r="A419" t="inlineStr">
        <is>
          <t>No</t>
        </is>
      </c>
      <c r="B419" t="inlineStr">
        <is>
          <t>QV95 A84085 2004</t>
        </is>
      </c>
      <c r="C419" t="inlineStr">
        <is>
          <t>0                      QV 0095000A  84085       2004</t>
        </is>
      </c>
      <c r="D419" t="inlineStr">
        <is>
          <t>Aspirin and related drugs / [edited by] K.D. Rainsford.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London ; New York : Taylor &amp; Francis, 2004.</t>
        </is>
      </c>
      <c r="M419" t="inlineStr">
        <is>
          <t>2004</t>
        </is>
      </c>
      <c r="O419" t="inlineStr">
        <is>
          <t>eng</t>
        </is>
      </c>
      <c r="P419" t="inlineStr">
        <is>
          <t>enk</t>
        </is>
      </c>
      <c r="R419" t="inlineStr">
        <is>
          <t xml:space="preserve">QV </t>
        </is>
      </c>
      <c r="S419" t="n">
        <v>17</v>
      </c>
      <c r="T419" t="n">
        <v>17</v>
      </c>
      <c r="U419" t="inlineStr">
        <is>
          <t>2007-12-04</t>
        </is>
      </c>
      <c r="V419" t="inlineStr">
        <is>
          <t>2007-12-04</t>
        </is>
      </c>
      <c r="W419" t="inlineStr">
        <is>
          <t>2005-03-04</t>
        </is>
      </c>
      <c r="X419" t="inlineStr">
        <is>
          <t>2005-03-04</t>
        </is>
      </c>
      <c r="Y419" t="n">
        <v>120</v>
      </c>
      <c r="Z419" t="n">
        <v>62</v>
      </c>
      <c r="AA419" t="n">
        <v>101</v>
      </c>
      <c r="AB419" t="n">
        <v>1</v>
      </c>
      <c r="AC419" t="n">
        <v>1</v>
      </c>
      <c r="AD419" t="n">
        <v>2</v>
      </c>
      <c r="AE419" t="n">
        <v>2</v>
      </c>
      <c r="AF419" t="n">
        <v>2</v>
      </c>
      <c r="AG419" t="n">
        <v>2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HYPERLINK("https://creighton-primo.hosted.exlibrisgroup.com/primo-explore/search?tab=default_tab&amp;search_scope=EVERYTHING&amp;vid=01CRU&amp;lang=en_US&amp;offset=0&amp;query=any,contains,991000431259702656","Catalog Record")</f>
        <v/>
      </c>
      <c r="AT419">
        <f>HYPERLINK("http://www.worldcat.org/oclc/49044343","WorldCat Record")</f>
        <v/>
      </c>
    </row>
    <row r="420">
      <c r="A420" t="inlineStr">
        <is>
          <t>No</t>
        </is>
      </c>
      <c r="B420" t="inlineStr">
        <is>
          <t>QV95 C555 1998</t>
        </is>
      </c>
      <c r="C420" t="inlineStr">
        <is>
          <t>0                      QV 0095000C  555         1998</t>
        </is>
      </c>
      <c r="D420" t="inlineStr">
        <is>
      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London : William Harvey Press, 1998.</t>
        </is>
      </c>
      <c r="M420" t="inlineStr">
        <is>
          <t>1998</t>
        </is>
      </c>
      <c r="O420" t="inlineStr">
        <is>
          <t>eng</t>
        </is>
      </c>
      <c r="P420" t="inlineStr">
        <is>
          <t>enk</t>
        </is>
      </c>
      <c r="R420" t="inlineStr">
        <is>
          <t xml:space="preserve">QV </t>
        </is>
      </c>
      <c r="S420" t="n">
        <v>2</v>
      </c>
      <c r="T420" t="n">
        <v>2</v>
      </c>
      <c r="U420" t="inlineStr">
        <is>
          <t>2007-12-04</t>
        </is>
      </c>
      <c r="V420" t="inlineStr">
        <is>
          <t>2007-12-04</t>
        </is>
      </c>
      <c r="W420" t="inlineStr">
        <is>
          <t>2002-01-15</t>
        </is>
      </c>
      <c r="X420" t="inlineStr">
        <is>
          <t>2002-01-15</t>
        </is>
      </c>
      <c r="Y420" t="n">
        <v>107</v>
      </c>
      <c r="Z420" t="n">
        <v>101</v>
      </c>
      <c r="AA420" t="n">
        <v>104</v>
      </c>
      <c r="AB420" t="n">
        <v>1</v>
      </c>
      <c r="AC420" t="n">
        <v>1</v>
      </c>
      <c r="AD420" t="n">
        <v>3</v>
      </c>
      <c r="AE420" t="n">
        <v>3</v>
      </c>
      <c r="AF420" t="n">
        <v>0</v>
      </c>
      <c r="AG420" t="n">
        <v>0</v>
      </c>
      <c r="AH420" t="n">
        <v>1</v>
      </c>
      <c r="AI420" t="n">
        <v>1</v>
      </c>
      <c r="AJ420" t="n">
        <v>2</v>
      </c>
      <c r="AK420" t="n">
        <v>2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HYPERLINK("http://catalog.hathitrust.org/Record/004198191","HathiTrust Record")</f>
        <v/>
      </c>
      <c r="AS420">
        <f>HYPERLINK("https://creighton-primo.hosted.exlibrisgroup.com/primo-explore/search?tab=default_tab&amp;search_scope=EVERYTHING&amp;vid=01CRU&amp;lang=en_US&amp;offset=0&amp;query=any,contains,991000302779702656","Catalog Record")</f>
        <v/>
      </c>
      <c r="AT420">
        <f>HYPERLINK("http://www.worldcat.org/oclc/41558655","WorldCat Record")</f>
        <v/>
      </c>
    </row>
    <row r="421">
      <c r="A421" t="inlineStr">
        <is>
          <t>No</t>
        </is>
      </c>
      <c r="B421" t="inlineStr">
        <is>
          <t>QV 95 D457 1991</t>
        </is>
      </c>
      <c r="C421" t="inlineStr">
        <is>
          <t>0                      QV 0095000D  457         1991</t>
        </is>
      </c>
      <c r="D421" t="inlineStr">
        <is>
          <t>The Design of analgesic clinical trials / editors, Mitchell B. Max, Russell K. Portenoy, Eugene M. Laska.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L421" t="inlineStr">
        <is>
          <t>New York : Raven Press, c1991.</t>
        </is>
      </c>
      <c r="M421" t="inlineStr">
        <is>
          <t>1991</t>
        </is>
      </c>
      <c r="O421" t="inlineStr">
        <is>
          <t>eng</t>
        </is>
      </c>
      <c r="P421" t="inlineStr">
        <is>
          <t>nyu</t>
        </is>
      </c>
      <c r="Q421" t="inlineStr">
        <is>
          <t>Advances in pain research and therapy ; v. 18</t>
        </is>
      </c>
      <c r="R421" t="inlineStr">
        <is>
          <t xml:space="preserve">QV </t>
        </is>
      </c>
      <c r="S421" t="n">
        <v>11</v>
      </c>
      <c r="T421" t="n">
        <v>11</v>
      </c>
      <c r="U421" t="inlineStr">
        <is>
          <t>1999-12-13</t>
        </is>
      </c>
      <c r="V421" t="inlineStr">
        <is>
          <t>1999-12-13</t>
        </is>
      </c>
      <c r="W421" t="inlineStr">
        <is>
          <t>1991-09-26</t>
        </is>
      </c>
      <c r="X421" t="inlineStr">
        <is>
          <t>1991-09-26</t>
        </is>
      </c>
      <c r="Y421" t="n">
        <v>134</v>
      </c>
      <c r="Z421" t="n">
        <v>100</v>
      </c>
      <c r="AA421" t="n">
        <v>100</v>
      </c>
      <c r="AB421" t="n">
        <v>1</v>
      </c>
      <c r="AC421" t="n">
        <v>1</v>
      </c>
      <c r="AD421" t="n">
        <v>4</v>
      </c>
      <c r="AE421" t="n">
        <v>4</v>
      </c>
      <c r="AF421" t="n">
        <v>1</v>
      </c>
      <c r="AG421" t="n">
        <v>1</v>
      </c>
      <c r="AH421" t="n">
        <v>1</v>
      </c>
      <c r="AI421" t="n">
        <v>1</v>
      </c>
      <c r="AJ421" t="n">
        <v>2</v>
      </c>
      <c r="AK421" t="n">
        <v>2</v>
      </c>
      <c r="AL421" t="n">
        <v>0</v>
      </c>
      <c r="AM421" t="n">
        <v>0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HYPERLINK("https://creighton-primo.hosted.exlibrisgroup.com/primo-explore/search?tab=default_tab&amp;search_scope=EVERYTHING&amp;vid=01CRU&amp;lang=en_US&amp;offset=0&amp;query=any,contains,991001017509702656","Catalog Record")</f>
        <v/>
      </c>
      <c r="AT421">
        <f>HYPERLINK("http://www.worldcat.org/oclc/22452703","WorldCat Record")</f>
        <v/>
      </c>
    </row>
    <row r="422">
      <c r="A422" t="inlineStr">
        <is>
          <t>No</t>
        </is>
      </c>
      <c r="B422" t="inlineStr">
        <is>
          <t>QV 95 N533 1996</t>
        </is>
      </c>
      <c r="C422" t="inlineStr">
        <is>
          <t>0                      QV 0095000N  533         1996</t>
        </is>
      </c>
      <c r="D422" t="inlineStr">
        <is>
      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Dordrecht ; Boston : Kluwer Academic Publishers : William Harvey Press, c1996.</t>
        </is>
      </c>
      <c r="M422" t="inlineStr">
        <is>
          <t>1996</t>
        </is>
      </c>
      <c r="O422" t="inlineStr">
        <is>
          <t>eng</t>
        </is>
      </c>
      <c r="P422" t="inlineStr">
        <is>
          <t xml:space="preserve">ne </t>
        </is>
      </c>
      <c r="R422" t="inlineStr">
        <is>
          <t xml:space="preserve">QV </t>
        </is>
      </c>
      <c r="S422" t="n">
        <v>3</v>
      </c>
      <c r="T422" t="n">
        <v>3</v>
      </c>
      <c r="U422" t="inlineStr">
        <is>
          <t>2007-12-04</t>
        </is>
      </c>
      <c r="V422" t="inlineStr">
        <is>
          <t>2007-12-04</t>
        </is>
      </c>
      <c r="W422" t="inlineStr">
        <is>
          <t>2002-01-15</t>
        </is>
      </c>
      <c r="X422" t="inlineStr">
        <is>
          <t>2002-01-15</t>
        </is>
      </c>
      <c r="Y422" t="n">
        <v>213</v>
      </c>
      <c r="Z422" t="n">
        <v>200</v>
      </c>
      <c r="AA422" t="n">
        <v>233</v>
      </c>
      <c r="AB422" t="n">
        <v>1</v>
      </c>
      <c r="AC422" t="n">
        <v>1</v>
      </c>
      <c r="AD422" t="n">
        <v>5</v>
      </c>
      <c r="AE422" t="n">
        <v>6</v>
      </c>
      <c r="AF422" t="n">
        <v>1</v>
      </c>
      <c r="AG422" t="n">
        <v>2</v>
      </c>
      <c r="AH422" t="n">
        <v>2</v>
      </c>
      <c r="AI422" t="n">
        <v>2</v>
      </c>
      <c r="AJ422" t="n">
        <v>2</v>
      </c>
      <c r="AK422" t="n">
        <v>3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HYPERLINK("http://catalog.hathitrust.org/Record/003136122","HathiTrust Record")</f>
        <v/>
      </c>
      <c r="AS422">
        <f>HYPERLINK("https://creighton-primo.hosted.exlibrisgroup.com/primo-explore/search?tab=default_tab&amp;search_scope=EVERYTHING&amp;vid=01CRU&amp;lang=en_US&amp;offset=0&amp;query=any,contains,991000302819702656","Catalog Record")</f>
        <v/>
      </c>
      <c r="AT422">
        <f>HYPERLINK("http://www.worldcat.org/oclc/36842482","WorldCat Record")</f>
        <v/>
      </c>
    </row>
    <row r="423">
      <c r="A423" t="inlineStr">
        <is>
          <t>No</t>
        </is>
      </c>
      <c r="B423" t="inlineStr">
        <is>
          <t>QV 95 S464 1998</t>
        </is>
      </c>
      <c r="C423" t="inlineStr">
        <is>
          <t>0                      QV 0095000S  464         1998</t>
        </is>
      </c>
      <c r="D423" t="inlineStr">
        <is>
          <t>Selective COX-2 inhibitors : pharmacology, clinical effects, and therapeutic potential : proceedings of a conference held on March 20-21, 1997, in Cannes, France / edited by Sir John Vane and Jack Botting.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Dordrecht ; London : Kluwer Academic, c1998.</t>
        </is>
      </c>
      <c r="M423" t="inlineStr">
        <is>
          <t>1998</t>
        </is>
      </c>
      <c r="O423" t="inlineStr">
        <is>
          <t>eng</t>
        </is>
      </c>
      <c r="P423" t="inlineStr">
        <is>
          <t>enk</t>
        </is>
      </c>
      <c r="R423" t="inlineStr">
        <is>
          <t xml:space="preserve">QV </t>
        </is>
      </c>
      <c r="S423" t="n">
        <v>2</v>
      </c>
      <c r="T423" t="n">
        <v>2</v>
      </c>
      <c r="U423" t="inlineStr">
        <is>
          <t>2007-12-04</t>
        </is>
      </c>
      <c r="V423" t="inlineStr">
        <is>
          <t>2007-12-04</t>
        </is>
      </c>
      <c r="W423" t="inlineStr">
        <is>
          <t>2002-01-15</t>
        </is>
      </c>
      <c r="X423" t="inlineStr">
        <is>
          <t>2002-01-15</t>
        </is>
      </c>
      <c r="Y423" t="n">
        <v>232</v>
      </c>
      <c r="Z423" t="n">
        <v>211</v>
      </c>
      <c r="AA423" t="n">
        <v>246</v>
      </c>
      <c r="AB423" t="n">
        <v>1</v>
      </c>
      <c r="AC423" t="n">
        <v>1</v>
      </c>
      <c r="AD423" t="n">
        <v>5</v>
      </c>
      <c r="AE423" t="n">
        <v>7</v>
      </c>
      <c r="AF423" t="n">
        <v>1</v>
      </c>
      <c r="AG423" t="n">
        <v>2</v>
      </c>
      <c r="AH423" t="n">
        <v>2</v>
      </c>
      <c r="AI423" t="n">
        <v>2</v>
      </c>
      <c r="AJ423" t="n">
        <v>2</v>
      </c>
      <c r="AK423" t="n">
        <v>4</v>
      </c>
      <c r="AL423" t="n">
        <v>0</v>
      </c>
      <c r="AM423" t="n">
        <v>0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HYPERLINK("http://catalog.hathitrust.org/Record/003966208","HathiTrust Record")</f>
        <v/>
      </c>
      <c r="AS423">
        <f>HYPERLINK("https://creighton-primo.hosted.exlibrisgroup.com/primo-explore/search?tab=default_tab&amp;search_scope=EVERYTHING&amp;vid=01CRU&amp;lang=en_US&amp;offset=0&amp;query=any,contains,991000302859702656","Catalog Record")</f>
        <v/>
      </c>
      <c r="AT423">
        <f>HYPERLINK("http://www.worldcat.org/oclc/38550070","WorldCat Record")</f>
        <v/>
      </c>
    </row>
    <row r="424">
      <c r="A424" t="inlineStr">
        <is>
          <t>No</t>
        </is>
      </c>
      <c r="B424" t="inlineStr">
        <is>
          <t>QV 95 S655s 1966</t>
        </is>
      </c>
      <c r="C424" t="inlineStr">
        <is>
          <t>0                      QV 0095000S  655s        1966</t>
        </is>
      </c>
      <c r="D424" t="inlineStr">
        <is>
          <t>The salicylates : a critical bibliographic review / M.J. H. Smith and Paul K. Smith.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Smith, M. J. H. editor.</t>
        </is>
      </c>
      <c r="L424" t="inlineStr">
        <is>
          <t>New York : Interscience Publishers, 1966.</t>
        </is>
      </c>
      <c r="M424" t="inlineStr">
        <is>
          <t>1966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QV </t>
        </is>
      </c>
      <c r="S424" t="n">
        <v>3</v>
      </c>
      <c r="T424" t="n">
        <v>3</v>
      </c>
      <c r="U424" t="inlineStr">
        <is>
          <t>1995-03-28</t>
        </is>
      </c>
      <c r="V424" t="inlineStr">
        <is>
          <t>1995-03-28</t>
        </is>
      </c>
      <c r="W424" t="inlineStr">
        <is>
          <t>1988-03-17</t>
        </is>
      </c>
      <c r="X424" t="inlineStr">
        <is>
          <t>1988-03-17</t>
        </is>
      </c>
      <c r="Y424" t="n">
        <v>268</v>
      </c>
      <c r="Z424" t="n">
        <v>208</v>
      </c>
      <c r="AA424" t="n">
        <v>212</v>
      </c>
      <c r="AB424" t="n">
        <v>2</v>
      </c>
      <c r="AC424" t="n">
        <v>2</v>
      </c>
      <c r="AD424" t="n">
        <v>9</v>
      </c>
      <c r="AE424" t="n">
        <v>9</v>
      </c>
      <c r="AF424" t="n">
        <v>5</v>
      </c>
      <c r="AG424" t="n">
        <v>5</v>
      </c>
      <c r="AH424" t="n">
        <v>1</v>
      </c>
      <c r="AI424" t="n">
        <v>1</v>
      </c>
      <c r="AJ424" t="n">
        <v>5</v>
      </c>
      <c r="AK424" t="n">
        <v>5</v>
      </c>
      <c r="AL424" t="n">
        <v>1</v>
      </c>
      <c r="AM424" t="n">
        <v>1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HYPERLINK("http://catalog.hathitrust.org/Record/001573224","HathiTrust Record")</f>
        <v/>
      </c>
      <c r="AS424">
        <f>HYPERLINK("https://creighton-primo.hosted.exlibrisgroup.com/primo-explore/search?tab=default_tab&amp;search_scope=EVERYTHING&amp;vid=01CRU&amp;lang=en_US&amp;offset=0&amp;query=any,contains,991000959069702656","Catalog Record")</f>
        <v/>
      </c>
      <c r="AT424">
        <f>HYPERLINK("http://www.worldcat.org/oclc/1224211","WorldCat Record")</f>
        <v/>
      </c>
    </row>
    <row r="425">
      <c r="A425" t="inlineStr">
        <is>
          <t>No</t>
        </is>
      </c>
      <c r="B425" t="inlineStr">
        <is>
          <t>QV 109 H193 1970</t>
        </is>
      </c>
      <c r="C425" t="inlineStr">
        <is>
          <t>0                      QV 0109000H  193         1970</t>
        </is>
      </c>
      <c r="D425" t="inlineStr">
        <is>
          <t>Hallucinogenic drug research: impact on science and society : proceedings of the first annual symposium of the Student Association for the Study of Hallucinogens / edited by James R. Gamage &amp; Edmund L. Zerkin.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Beloit, Wis. : STASH Press, 1970.</t>
        </is>
      </c>
      <c r="M425" t="inlineStr">
        <is>
          <t>1970</t>
        </is>
      </c>
      <c r="O425" t="inlineStr">
        <is>
          <t>eng</t>
        </is>
      </c>
      <c r="P425" t="inlineStr">
        <is>
          <t>wiu</t>
        </is>
      </c>
      <c r="R425" t="inlineStr">
        <is>
          <t xml:space="preserve">QV </t>
        </is>
      </c>
      <c r="S425" t="n">
        <v>10</v>
      </c>
      <c r="T425" t="n">
        <v>10</v>
      </c>
      <c r="U425" t="inlineStr">
        <is>
          <t>1996-09-20</t>
        </is>
      </c>
      <c r="V425" t="inlineStr">
        <is>
          <t>1996-09-20</t>
        </is>
      </c>
      <c r="W425" t="inlineStr">
        <is>
          <t>1988-03-17</t>
        </is>
      </c>
      <c r="X425" t="inlineStr">
        <is>
          <t>1988-03-17</t>
        </is>
      </c>
      <c r="Y425" t="n">
        <v>197</v>
      </c>
      <c r="Z425" t="n">
        <v>171</v>
      </c>
      <c r="AA425" t="n">
        <v>178</v>
      </c>
      <c r="AB425" t="n">
        <v>1</v>
      </c>
      <c r="AC425" t="n">
        <v>1</v>
      </c>
      <c r="AD425" t="n">
        <v>6</v>
      </c>
      <c r="AE425" t="n">
        <v>6</v>
      </c>
      <c r="AF425" t="n">
        <v>3</v>
      </c>
      <c r="AG425" t="n">
        <v>3</v>
      </c>
      <c r="AH425" t="n">
        <v>2</v>
      </c>
      <c r="AI425" t="n">
        <v>2</v>
      </c>
      <c r="AJ425" t="n">
        <v>2</v>
      </c>
      <c r="AK425" t="n">
        <v>2</v>
      </c>
      <c r="AL425" t="n">
        <v>0</v>
      </c>
      <c r="AM425" t="n">
        <v>0</v>
      </c>
      <c r="AN425" t="n">
        <v>1</v>
      </c>
      <c r="AO425" t="n">
        <v>1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HYPERLINK("https://creighton-primo.hosted.exlibrisgroup.com/primo-explore/search?tab=default_tab&amp;search_scope=EVERYTHING&amp;vid=01CRU&amp;lang=en_US&amp;offset=0&amp;query=any,contains,991000958999702656","Catalog Record")</f>
        <v/>
      </c>
      <c r="AT425">
        <f>HYPERLINK("http://www.worldcat.org/oclc/96437","WorldCat Record")</f>
        <v/>
      </c>
    </row>
    <row r="426">
      <c r="A426" t="inlineStr">
        <is>
          <t>No</t>
        </is>
      </c>
      <c r="B426" t="inlineStr">
        <is>
          <t>QV 109 M648m</t>
        </is>
      </c>
      <c r="C426" t="inlineStr">
        <is>
          <t>0                      QV 0109000M  648m</t>
        </is>
      </c>
      <c r="D426" t="inlineStr">
        <is>
          <t>Marijuana : effects on human behavior / edited by Loren L. Miller.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Miller, Loren L.</t>
        </is>
      </c>
      <c r="L426" t="inlineStr">
        <is>
          <t>New York : Academic Press, 1974.</t>
        </is>
      </c>
      <c r="M426" t="inlineStr">
        <is>
          <t>1974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QV </t>
        </is>
      </c>
      <c r="S426" t="n">
        <v>10</v>
      </c>
      <c r="T426" t="n">
        <v>10</v>
      </c>
      <c r="U426" t="inlineStr">
        <is>
          <t>2008-04-23</t>
        </is>
      </c>
      <c r="V426" t="inlineStr">
        <is>
          <t>2008-04-23</t>
        </is>
      </c>
      <c r="W426" t="inlineStr">
        <is>
          <t>1988-03-17</t>
        </is>
      </c>
      <c r="X426" t="inlineStr">
        <is>
          <t>1988-03-17</t>
        </is>
      </c>
      <c r="Y426" t="n">
        <v>386</v>
      </c>
      <c r="Z426" t="n">
        <v>278</v>
      </c>
      <c r="AA426" t="n">
        <v>328</v>
      </c>
      <c r="AB426" t="n">
        <v>3</v>
      </c>
      <c r="AC426" t="n">
        <v>3</v>
      </c>
      <c r="AD426" t="n">
        <v>14</v>
      </c>
      <c r="AE426" t="n">
        <v>16</v>
      </c>
      <c r="AF426" t="n">
        <v>3</v>
      </c>
      <c r="AG426" t="n">
        <v>4</v>
      </c>
      <c r="AH426" t="n">
        <v>4</v>
      </c>
      <c r="AI426" t="n">
        <v>5</v>
      </c>
      <c r="AJ426" t="n">
        <v>9</v>
      </c>
      <c r="AK426" t="n">
        <v>9</v>
      </c>
      <c r="AL426" t="n">
        <v>2</v>
      </c>
      <c r="AM426" t="n">
        <v>2</v>
      </c>
      <c r="AN426" t="n">
        <v>1</v>
      </c>
      <c r="AO426" t="n">
        <v>1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HYPERLINK("http://catalog.hathitrust.org/Record/000661514","HathiTrust Record")</f>
        <v/>
      </c>
      <c r="AS426">
        <f>HYPERLINK("https://creighton-primo.hosted.exlibrisgroup.com/primo-explore/search?tab=default_tab&amp;search_scope=EVERYTHING&amp;vid=01CRU&amp;lang=en_US&amp;offset=0&amp;query=any,contains,991000958969702656","Catalog Record")</f>
        <v/>
      </c>
      <c r="AT426">
        <f>HYPERLINK("http://www.worldcat.org/oclc/1009340","WorldCat Record")</f>
        <v/>
      </c>
    </row>
    <row r="427">
      <c r="A427" t="inlineStr">
        <is>
          <t>No</t>
        </is>
      </c>
      <c r="B427" t="inlineStr">
        <is>
          <t>QV 109 P975 1970</t>
        </is>
      </c>
      <c r="C427" t="inlineStr">
        <is>
          <t>0                      QV 0109000P  975         1970</t>
        </is>
      </c>
      <c r="D427" t="inlineStr">
        <is>
          <t>Psychotomimetic drugs : proceedings of a workshop organized by the Pharmacology Section, Psychopharmacology Research Branch, National Institute of Mental Health / Edited by Daniel H. Efron.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New York : Raven Press, [1970]</t>
        </is>
      </c>
      <c r="M427" t="inlineStr">
        <is>
          <t>1970</t>
        </is>
      </c>
      <c r="O427" t="inlineStr">
        <is>
          <t>eng</t>
        </is>
      </c>
      <c r="P427" t="inlineStr">
        <is>
          <t>nyu</t>
        </is>
      </c>
      <c r="Q427" t="inlineStr">
        <is>
          <t>National Institute of Mental Health. Workshop series of Pharmacology Section, no. 4</t>
        </is>
      </c>
      <c r="R427" t="inlineStr">
        <is>
          <t xml:space="preserve">QV </t>
        </is>
      </c>
      <c r="S427" t="n">
        <v>8</v>
      </c>
      <c r="T427" t="n">
        <v>8</v>
      </c>
      <c r="U427" t="inlineStr">
        <is>
          <t>2008-04-23</t>
        </is>
      </c>
      <c r="V427" t="inlineStr">
        <is>
          <t>2008-04-23</t>
        </is>
      </c>
      <c r="W427" t="inlineStr">
        <is>
          <t>1988-03-03</t>
        </is>
      </c>
      <c r="X427" t="inlineStr">
        <is>
          <t>1988-03-03</t>
        </is>
      </c>
      <c r="Y427" t="n">
        <v>244</v>
      </c>
      <c r="Z427" t="n">
        <v>193</v>
      </c>
      <c r="AA427" t="n">
        <v>194</v>
      </c>
      <c r="AB427" t="n">
        <v>2</v>
      </c>
      <c r="AC427" t="n">
        <v>2</v>
      </c>
      <c r="AD427" t="n">
        <v>7</v>
      </c>
      <c r="AE427" t="n">
        <v>7</v>
      </c>
      <c r="AF427" t="n">
        <v>2</v>
      </c>
      <c r="AG427" t="n">
        <v>2</v>
      </c>
      <c r="AH427" t="n">
        <v>2</v>
      </c>
      <c r="AI427" t="n">
        <v>2</v>
      </c>
      <c r="AJ427" t="n">
        <v>3</v>
      </c>
      <c r="AK427" t="n">
        <v>3</v>
      </c>
      <c r="AL427" t="n">
        <v>1</v>
      </c>
      <c r="AM427" t="n">
        <v>1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HYPERLINK("http://catalog.hathitrust.org/Record/001688629","HathiTrust Record")</f>
        <v/>
      </c>
      <c r="AS427">
        <f>HYPERLINK("https://creighton-primo.hosted.exlibrisgroup.com/primo-explore/search?tab=default_tab&amp;search_scope=EVERYTHING&amp;vid=01CRU&amp;lang=en_US&amp;offset=0&amp;query=any,contains,991000958899702656","Catalog Record")</f>
        <v/>
      </c>
      <c r="AT427">
        <f>HYPERLINK("http://www.worldcat.org/oclc/58755","WorldCat Record")</f>
        <v/>
      </c>
    </row>
    <row r="428">
      <c r="A428" t="inlineStr">
        <is>
          <t>No</t>
        </is>
      </c>
      <c r="B428" t="inlineStr">
        <is>
          <t>QV 110 C873L 1976</t>
        </is>
      </c>
      <c r="C428" t="inlineStr">
        <is>
          <t>0                      QV 0110000C  873L        1976</t>
        </is>
      </c>
      <c r="D428" t="inlineStr">
        <is>
          <t>Local anesthetics : mechanisms of action and clinical use / Benjamin G. Covino and Helen G. Vassallo.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Covino, Benjamin G., 1930-</t>
        </is>
      </c>
      <c r="L428" t="inlineStr">
        <is>
          <t>New York : Grune &amp; Stratton, c1976.</t>
        </is>
      </c>
      <c r="M428" t="inlineStr">
        <is>
          <t>1976</t>
        </is>
      </c>
      <c r="O428" t="inlineStr">
        <is>
          <t>eng</t>
        </is>
      </c>
      <c r="P428" t="inlineStr">
        <is>
          <t>nyu</t>
        </is>
      </c>
      <c r="Q428" t="inlineStr">
        <is>
          <t>The Scientific basis of clinical anesthesia</t>
        </is>
      </c>
      <c r="R428" t="inlineStr">
        <is>
          <t xml:space="preserve">QV </t>
        </is>
      </c>
      <c r="S428" t="n">
        <v>6</v>
      </c>
      <c r="T428" t="n">
        <v>6</v>
      </c>
      <c r="U428" t="inlineStr">
        <is>
          <t>2002-11-18</t>
        </is>
      </c>
      <c r="V428" t="inlineStr">
        <is>
          <t>2002-11-18</t>
        </is>
      </c>
      <c r="W428" t="inlineStr">
        <is>
          <t>1988-12-29</t>
        </is>
      </c>
      <c r="X428" t="inlineStr">
        <is>
          <t>1988-12-29</t>
        </is>
      </c>
      <c r="Y428" t="n">
        <v>173</v>
      </c>
      <c r="Z428" t="n">
        <v>114</v>
      </c>
      <c r="AA428" t="n">
        <v>121</v>
      </c>
      <c r="AB428" t="n">
        <v>2</v>
      </c>
      <c r="AC428" t="n">
        <v>2</v>
      </c>
      <c r="AD428" t="n">
        <v>5</v>
      </c>
      <c r="AE428" t="n">
        <v>5</v>
      </c>
      <c r="AF428" t="n">
        <v>1</v>
      </c>
      <c r="AG428" t="n">
        <v>1</v>
      </c>
      <c r="AH428" t="n">
        <v>3</v>
      </c>
      <c r="AI428" t="n">
        <v>3</v>
      </c>
      <c r="AJ428" t="n">
        <v>2</v>
      </c>
      <c r="AK428" t="n">
        <v>2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HYPERLINK("http://catalog.hathitrust.org/Record/000687993","HathiTrust Record")</f>
        <v/>
      </c>
      <c r="AS428">
        <f>HYPERLINK("https://creighton-primo.hosted.exlibrisgroup.com/primo-explore/search?tab=default_tab&amp;search_scope=EVERYTHING&amp;vid=01CRU&amp;lang=en_US&amp;offset=0&amp;query=any,contains,991000958839702656","Catalog Record")</f>
        <v/>
      </c>
      <c r="AT428">
        <f>HYPERLINK("http://www.worldcat.org/oclc/1849163","WorldCat Record")</f>
        <v/>
      </c>
    </row>
    <row r="429">
      <c r="A429" t="inlineStr">
        <is>
          <t>No</t>
        </is>
      </c>
      <c r="B429" t="inlineStr">
        <is>
          <t>QV 110 L811 1987</t>
        </is>
      </c>
      <c r="C429" t="inlineStr">
        <is>
          <t>0                      QV 0110000L  811         1987</t>
        </is>
      </c>
      <c r="D429" t="inlineStr">
        <is>
          <t>Local anesthetics / contributors, G.R. Arthur ... [et al.] ; editor, G.R. Strichartz.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Berlin ; New York : Springer-Verlag, c1987.</t>
        </is>
      </c>
      <c r="M429" t="inlineStr">
        <is>
          <t>1987</t>
        </is>
      </c>
      <c r="O429" t="inlineStr">
        <is>
          <t>eng</t>
        </is>
      </c>
      <c r="P429" t="inlineStr">
        <is>
          <t xml:space="preserve">gw </t>
        </is>
      </c>
      <c r="Q429" t="inlineStr">
        <is>
          <t>Handbook of experimental pharmacology ; vol. 81</t>
        </is>
      </c>
      <c r="R429" t="inlineStr">
        <is>
          <t xml:space="preserve">QV </t>
        </is>
      </c>
      <c r="S429" t="n">
        <v>9</v>
      </c>
      <c r="T429" t="n">
        <v>9</v>
      </c>
      <c r="U429" t="inlineStr">
        <is>
          <t>2002-11-18</t>
        </is>
      </c>
      <c r="V429" t="inlineStr">
        <is>
          <t>2002-11-18</t>
        </is>
      </c>
      <c r="W429" t="inlineStr">
        <is>
          <t>1989-04-28</t>
        </is>
      </c>
      <c r="X429" t="inlineStr">
        <is>
          <t>1989-04-28</t>
        </is>
      </c>
      <c r="Y429" t="n">
        <v>172</v>
      </c>
      <c r="Z429" t="n">
        <v>104</v>
      </c>
      <c r="AA429" t="n">
        <v>115</v>
      </c>
      <c r="AB429" t="n">
        <v>1</v>
      </c>
      <c r="AC429" t="n">
        <v>1</v>
      </c>
      <c r="AD429" t="n">
        <v>2</v>
      </c>
      <c r="AE429" t="n">
        <v>2</v>
      </c>
      <c r="AF429" t="n">
        <v>0</v>
      </c>
      <c r="AG429" t="n">
        <v>0</v>
      </c>
      <c r="AH429" t="n">
        <v>2</v>
      </c>
      <c r="AI429" t="n">
        <v>2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HYPERLINK("http://catalog.hathitrust.org/Record/000593642","HathiTrust Record")</f>
        <v/>
      </c>
      <c r="AS429">
        <f>HYPERLINK("https://creighton-primo.hosted.exlibrisgroup.com/primo-explore/search?tab=default_tab&amp;search_scope=EVERYTHING&amp;vid=01CRU&amp;lang=en_US&amp;offset=0&amp;query=any,contains,991001245409702656","Catalog Record")</f>
        <v/>
      </c>
      <c r="AT429">
        <f>HYPERLINK("http://www.worldcat.org/oclc/14069133","WorldCat Record")</f>
        <v/>
      </c>
    </row>
    <row r="430">
      <c r="A430" t="inlineStr">
        <is>
          <t>No</t>
        </is>
      </c>
      <c r="B430" t="inlineStr">
        <is>
          <t>QV 113 A512 1984c</t>
        </is>
      </c>
      <c r="C430" t="inlineStr">
        <is>
          <t>0                      QV 0113000A  512         1984c</t>
        </is>
      </c>
      <c r="D430" t="inlineStr">
        <is>
          <t>Cocaine : clinical and biobehavioral aspects / edited by Seymour Fisher, Allen Raskin, E.H. Uhlenhuth.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American College of Neuropsychopharmacology. Meeting (23rd : 1984 : San Juan, P.R.)</t>
        </is>
      </c>
      <c r="L430" t="inlineStr">
        <is>
          <t>New York : Oxford University Press, c1987.</t>
        </is>
      </c>
      <c r="M430" t="inlineStr">
        <is>
          <t>1987</t>
        </is>
      </c>
      <c r="O430" t="inlineStr">
        <is>
          <t>eng</t>
        </is>
      </c>
      <c r="P430" t="inlineStr">
        <is>
          <t>xxu</t>
        </is>
      </c>
      <c r="R430" t="inlineStr">
        <is>
          <t xml:space="preserve">QV </t>
        </is>
      </c>
      <c r="S430" t="n">
        <v>11</v>
      </c>
      <c r="T430" t="n">
        <v>11</v>
      </c>
      <c r="U430" t="inlineStr">
        <is>
          <t>1996-11-24</t>
        </is>
      </c>
      <c r="V430" t="inlineStr">
        <is>
          <t>1996-11-24</t>
        </is>
      </c>
      <c r="W430" t="inlineStr">
        <is>
          <t>1988-02-08</t>
        </is>
      </c>
      <c r="X430" t="inlineStr">
        <is>
          <t>1988-02-08</t>
        </is>
      </c>
      <c r="Y430" t="n">
        <v>454</v>
      </c>
      <c r="Z430" t="n">
        <v>399</v>
      </c>
      <c r="AA430" t="n">
        <v>406</v>
      </c>
      <c r="AB430" t="n">
        <v>4</v>
      </c>
      <c r="AC430" t="n">
        <v>4</v>
      </c>
      <c r="AD430" t="n">
        <v>21</v>
      </c>
      <c r="AE430" t="n">
        <v>21</v>
      </c>
      <c r="AF430" t="n">
        <v>8</v>
      </c>
      <c r="AG430" t="n">
        <v>8</v>
      </c>
      <c r="AH430" t="n">
        <v>5</v>
      </c>
      <c r="AI430" t="n">
        <v>5</v>
      </c>
      <c r="AJ430" t="n">
        <v>10</v>
      </c>
      <c r="AK430" t="n">
        <v>10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HYPERLINK("http://catalog.hathitrust.org/Record/000816321","HathiTrust Record")</f>
        <v/>
      </c>
      <c r="AS430">
        <f>HYPERLINK("https://creighton-primo.hosted.exlibrisgroup.com/primo-explore/search?tab=default_tab&amp;search_scope=EVERYTHING&amp;vid=01CRU&amp;lang=en_US&amp;offset=0&amp;query=any,contains,991000762939702656","Catalog Record")</f>
        <v/>
      </c>
      <c r="AT430">
        <f>HYPERLINK("http://www.worldcat.org/oclc/13125682","WorldCat Record")</f>
        <v/>
      </c>
    </row>
    <row r="431">
      <c r="A431" t="inlineStr">
        <is>
          <t>No</t>
        </is>
      </c>
      <c r="B431" t="inlineStr">
        <is>
          <t>QV 113 C65928 1992</t>
        </is>
      </c>
      <c r="C431" t="inlineStr">
        <is>
          <t>0                      QV 0113000C  65928       1992</t>
        </is>
      </c>
      <c r="D431" t="inlineStr">
        <is>
          <t>Cocaine : pharmacology, physiology, and clinical strategies / edited by Joan M. Lakoski, Matthew P. Galloway, Francis J. White.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L431" t="inlineStr">
        <is>
          <t>Boca Raton : CRC Press, c1992.</t>
        </is>
      </c>
      <c r="M431" t="inlineStr">
        <is>
          <t>1992</t>
        </is>
      </c>
      <c r="O431" t="inlineStr">
        <is>
          <t>eng</t>
        </is>
      </c>
      <c r="P431" t="inlineStr">
        <is>
          <t>flu</t>
        </is>
      </c>
      <c r="R431" t="inlineStr">
        <is>
          <t xml:space="preserve">QV </t>
        </is>
      </c>
      <c r="S431" t="n">
        <v>13</v>
      </c>
      <c r="T431" t="n">
        <v>13</v>
      </c>
      <c r="U431" t="inlineStr">
        <is>
          <t>2008-04-23</t>
        </is>
      </c>
      <c r="V431" t="inlineStr">
        <is>
          <t>2008-04-23</t>
        </is>
      </c>
      <c r="W431" t="inlineStr">
        <is>
          <t>1992-03-05</t>
        </is>
      </c>
      <c r="X431" t="inlineStr">
        <is>
          <t>1992-03-05</t>
        </is>
      </c>
      <c r="Y431" t="n">
        <v>179</v>
      </c>
      <c r="Z431" t="n">
        <v>147</v>
      </c>
      <c r="AA431" t="n">
        <v>151</v>
      </c>
      <c r="AB431" t="n">
        <v>2</v>
      </c>
      <c r="AC431" t="n">
        <v>2</v>
      </c>
      <c r="AD431" t="n">
        <v>9</v>
      </c>
      <c r="AE431" t="n">
        <v>9</v>
      </c>
      <c r="AF431" t="n">
        <v>4</v>
      </c>
      <c r="AG431" t="n">
        <v>4</v>
      </c>
      <c r="AH431" t="n">
        <v>1</v>
      </c>
      <c r="AI431" t="n">
        <v>1</v>
      </c>
      <c r="AJ431" t="n">
        <v>5</v>
      </c>
      <c r="AK431" t="n">
        <v>5</v>
      </c>
      <c r="AL431" t="n">
        <v>1</v>
      </c>
      <c r="AM431" t="n">
        <v>1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HYPERLINK("https://creighton-primo.hosted.exlibrisgroup.com/primo-explore/search?tab=default_tab&amp;search_scope=EVERYTHING&amp;vid=01CRU&amp;lang=en_US&amp;offset=0&amp;query=any,contains,991001298189702656","Catalog Record")</f>
        <v/>
      </c>
      <c r="AT431">
        <f>HYPERLINK("http://www.worldcat.org/oclc/23649583","WorldCat Record")</f>
        <v/>
      </c>
    </row>
    <row r="432">
      <c r="A432" t="inlineStr">
        <is>
          <t>No</t>
        </is>
      </c>
      <c r="B432" t="inlineStr">
        <is>
          <t>QV 126 C651 1995</t>
        </is>
      </c>
      <c r="C432" t="inlineStr">
        <is>
          <t>0                      QV 0126000C  651         1995</t>
        </is>
      </c>
      <c r="D432" t="inlineStr">
        <is>
          <t>CNS neurotransmitters and neuromodulators : glutamate / edited by Trevor W. Stone.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L432" t="inlineStr">
        <is>
          <t>Boca Raton : CRC Press, c1995.</t>
        </is>
      </c>
      <c r="M432" t="inlineStr">
        <is>
          <t>1995</t>
        </is>
      </c>
      <c r="O432" t="inlineStr">
        <is>
          <t>eng</t>
        </is>
      </c>
      <c r="P432" t="inlineStr">
        <is>
          <t>flu</t>
        </is>
      </c>
      <c r="R432" t="inlineStr">
        <is>
          <t xml:space="preserve">QV </t>
        </is>
      </c>
      <c r="S432" t="n">
        <v>16</v>
      </c>
      <c r="T432" t="n">
        <v>16</v>
      </c>
      <c r="U432" t="inlineStr">
        <is>
          <t>2010-04-01</t>
        </is>
      </c>
      <c r="V432" t="inlineStr">
        <is>
          <t>2010-04-01</t>
        </is>
      </c>
      <c r="W432" t="inlineStr">
        <is>
          <t>1995-08-07</t>
        </is>
      </c>
      <c r="X432" t="inlineStr">
        <is>
          <t>1995-08-07</t>
        </is>
      </c>
      <c r="Y432" t="n">
        <v>109</v>
      </c>
      <c r="Z432" t="n">
        <v>82</v>
      </c>
      <c r="AA432" t="n">
        <v>83</v>
      </c>
      <c r="AB432" t="n">
        <v>1</v>
      </c>
      <c r="AC432" t="n">
        <v>1</v>
      </c>
      <c r="AD432" t="n">
        <v>1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1</v>
      </c>
      <c r="AL432" t="n">
        <v>0</v>
      </c>
      <c r="AM432" t="n">
        <v>0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HYPERLINK("https://creighton-primo.hosted.exlibrisgroup.com/primo-explore/search?tab=default_tab&amp;search_scope=EVERYTHING&amp;vid=01CRU&amp;lang=en_US&amp;offset=0&amp;query=any,contains,991001403339702656","Catalog Record")</f>
        <v/>
      </c>
      <c r="AT432">
        <f>HYPERLINK("http://www.worldcat.org/oclc/31866823","WorldCat Record")</f>
        <v/>
      </c>
    </row>
    <row r="433">
      <c r="A433" t="inlineStr">
        <is>
          <t>No</t>
        </is>
      </c>
      <c r="B433" t="inlineStr">
        <is>
          <t>QV 126 F297s 1991</t>
        </is>
      </c>
      <c r="C433" t="inlineStr">
        <is>
          <t>0                      QV 0126000F  297s        1991</t>
        </is>
      </c>
      <c r="D433" t="inlineStr">
        <is>
          <t>Selective serotonin re-uptake inhibitors : the clinical use of citalopram, fluoxetine, fluvoxamine, paroxetine, and sertraline / J.P. Feighner and W.F. Boyer.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Feighner, John Preston, 1937-</t>
        </is>
      </c>
      <c r="L433" t="inlineStr">
        <is>
          <t>Chichester ; New York : Wiley, c1991.</t>
        </is>
      </c>
      <c r="M433" t="inlineStr">
        <is>
          <t>1991</t>
        </is>
      </c>
      <c r="O433" t="inlineStr">
        <is>
          <t>eng</t>
        </is>
      </c>
      <c r="P433" t="inlineStr">
        <is>
          <t>enk</t>
        </is>
      </c>
      <c r="Q433" t="inlineStr">
        <is>
          <t>Perspectives in psychiatry ; v. 1.</t>
        </is>
      </c>
      <c r="R433" t="inlineStr">
        <is>
          <t xml:space="preserve">QV </t>
        </is>
      </c>
      <c r="S433" t="n">
        <v>27</v>
      </c>
      <c r="T433" t="n">
        <v>27</v>
      </c>
      <c r="U433" t="inlineStr">
        <is>
          <t>2007-06-12</t>
        </is>
      </c>
      <c r="V433" t="inlineStr">
        <is>
          <t>2007-06-12</t>
        </is>
      </c>
      <c r="W433" t="inlineStr">
        <is>
          <t>1991-09-20</t>
        </is>
      </c>
      <c r="X433" t="inlineStr">
        <is>
          <t>1991-09-20</t>
        </is>
      </c>
      <c r="Y433" t="n">
        <v>124</v>
      </c>
      <c r="Z433" t="n">
        <v>80</v>
      </c>
      <c r="AA433" t="n">
        <v>86</v>
      </c>
      <c r="AB433" t="n">
        <v>1</v>
      </c>
      <c r="AC433" t="n">
        <v>1</v>
      </c>
      <c r="AD433" t="n">
        <v>5</v>
      </c>
      <c r="AE433" t="n">
        <v>5</v>
      </c>
      <c r="AF433" t="n">
        <v>1</v>
      </c>
      <c r="AG433" t="n">
        <v>1</v>
      </c>
      <c r="AH433" t="n">
        <v>1</v>
      </c>
      <c r="AI433" t="n">
        <v>1</v>
      </c>
      <c r="AJ433" t="n">
        <v>4</v>
      </c>
      <c r="AK433" t="n">
        <v>4</v>
      </c>
      <c r="AL433" t="n">
        <v>0</v>
      </c>
      <c r="AM433" t="n">
        <v>0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HYPERLINK("http://catalog.hathitrust.org/Record/002505310","HathiTrust Record")</f>
        <v/>
      </c>
      <c r="AS433">
        <f>HYPERLINK("https://creighton-primo.hosted.exlibrisgroup.com/primo-explore/search?tab=default_tab&amp;search_scope=EVERYTHING&amp;vid=01CRU&amp;lang=en_US&amp;offset=0&amp;query=any,contains,991001017129702656","Catalog Record")</f>
        <v/>
      </c>
      <c r="AT433">
        <f>HYPERLINK("http://www.worldcat.org/oclc/22705819","WorldCat Record")</f>
        <v/>
      </c>
    </row>
    <row r="434">
      <c r="A434" t="inlineStr">
        <is>
          <t>No</t>
        </is>
      </c>
      <c r="B434" t="inlineStr">
        <is>
          <t>QV 126 N493 1985</t>
        </is>
      </c>
      <c r="C434" t="inlineStr">
        <is>
          <t>0                      QV 0126000N  493         1985</t>
        </is>
      </c>
      <c r="D434" t="inlineStr">
        <is>
          <t>Neuropharmacology of serotonin / edited by A. Richard Green.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Oxford ; New York : Oxford University Press, c1985.</t>
        </is>
      </c>
      <c r="M434" t="inlineStr">
        <is>
          <t>1985</t>
        </is>
      </c>
      <c r="O434" t="inlineStr">
        <is>
          <t>eng</t>
        </is>
      </c>
      <c r="P434" t="inlineStr">
        <is>
          <t>enk</t>
        </is>
      </c>
      <c r="Q434" t="inlineStr">
        <is>
          <t>Oxford medical publications</t>
        </is>
      </c>
      <c r="R434" t="inlineStr">
        <is>
          <t xml:space="preserve">QV </t>
        </is>
      </c>
      <c r="S434" t="n">
        <v>17</v>
      </c>
      <c r="T434" t="n">
        <v>17</v>
      </c>
      <c r="U434" t="inlineStr">
        <is>
          <t>2000-01-13</t>
        </is>
      </c>
      <c r="V434" t="inlineStr">
        <is>
          <t>2000-01-13</t>
        </is>
      </c>
      <c r="W434" t="inlineStr">
        <is>
          <t>1988-02-08</t>
        </is>
      </c>
      <c r="X434" t="inlineStr">
        <is>
          <t>1988-02-08</t>
        </is>
      </c>
      <c r="Y434" t="n">
        <v>222</v>
      </c>
      <c r="Z434" t="n">
        <v>158</v>
      </c>
      <c r="AA434" t="n">
        <v>160</v>
      </c>
      <c r="AB434" t="n">
        <v>1</v>
      </c>
      <c r="AC434" t="n">
        <v>1</v>
      </c>
      <c r="AD434" t="n">
        <v>3</v>
      </c>
      <c r="AE434" t="n">
        <v>3</v>
      </c>
      <c r="AF434" t="n">
        <v>1</v>
      </c>
      <c r="AG434" t="n">
        <v>1</v>
      </c>
      <c r="AH434" t="n">
        <v>1</v>
      </c>
      <c r="AI434" t="n">
        <v>1</v>
      </c>
      <c r="AJ434" t="n">
        <v>2</v>
      </c>
      <c r="AK434" t="n">
        <v>2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HYPERLINK("http://catalog.hathitrust.org/Record/000609743","HathiTrust Record")</f>
        <v/>
      </c>
      <c r="AS434">
        <f>HYPERLINK("https://creighton-primo.hosted.exlibrisgroup.com/primo-explore/search?tab=default_tab&amp;search_scope=EVERYTHING&amp;vid=01CRU&amp;lang=en_US&amp;offset=0&amp;query=any,contains,991000959419702656","Catalog Record")</f>
        <v/>
      </c>
      <c r="AT434">
        <f>HYPERLINK("http://www.worldcat.org/oclc/11469504","WorldCat Record")</f>
        <v/>
      </c>
    </row>
    <row r="435">
      <c r="A435" t="inlineStr">
        <is>
          <t>No</t>
        </is>
      </c>
      <c r="B435" t="inlineStr">
        <is>
          <t>QV 126 N494 1985</t>
        </is>
      </c>
      <c r="C435" t="inlineStr">
        <is>
          <t>0                      QV 0126000N  494         1985</t>
        </is>
      </c>
      <c r="D435" t="inlineStr">
        <is>
          <t>Neurotransmitter receptor binding / editors, Henry I. Yamamura, S.J. Enna, Michael J. Kuhar.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New York : Raven Press, c1985.</t>
        </is>
      </c>
      <c r="M435" t="inlineStr">
        <is>
          <t>1985</t>
        </is>
      </c>
      <c r="N435" t="inlineStr">
        <is>
          <t>2nd ed.</t>
        </is>
      </c>
      <c r="O435" t="inlineStr">
        <is>
          <t>eng</t>
        </is>
      </c>
      <c r="P435" t="inlineStr">
        <is>
          <t>xxu</t>
        </is>
      </c>
      <c r="R435" t="inlineStr">
        <is>
          <t xml:space="preserve">QV </t>
        </is>
      </c>
      <c r="S435" t="n">
        <v>31</v>
      </c>
      <c r="T435" t="n">
        <v>31</v>
      </c>
      <c r="U435" t="inlineStr">
        <is>
          <t>2000-01-31</t>
        </is>
      </c>
      <c r="V435" t="inlineStr">
        <is>
          <t>2000-01-31</t>
        </is>
      </c>
      <c r="W435" t="inlineStr">
        <is>
          <t>1988-02-08</t>
        </is>
      </c>
      <c r="X435" t="inlineStr">
        <is>
          <t>1988-02-08</t>
        </is>
      </c>
      <c r="Y435" t="n">
        <v>296</v>
      </c>
      <c r="Z435" t="n">
        <v>213</v>
      </c>
      <c r="AA435" t="n">
        <v>291</v>
      </c>
      <c r="AB435" t="n">
        <v>2</v>
      </c>
      <c r="AC435" t="n">
        <v>2</v>
      </c>
      <c r="AD435" t="n">
        <v>7</v>
      </c>
      <c r="AE435" t="n">
        <v>9</v>
      </c>
      <c r="AF435" t="n">
        <v>1</v>
      </c>
      <c r="AG435" t="n">
        <v>2</v>
      </c>
      <c r="AH435" t="n">
        <v>3</v>
      </c>
      <c r="AI435" t="n">
        <v>3</v>
      </c>
      <c r="AJ435" t="n">
        <v>5</v>
      </c>
      <c r="AK435" t="n">
        <v>6</v>
      </c>
      <c r="AL435" t="n">
        <v>1</v>
      </c>
      <c r="AM435" t="n">
        <v>1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HYPERLINK("http://catalog.hathitrust.org/Record/006257554","HathiTrust Record")</f>
        <v/>
      </c>
      <c r="AS435">
        <f>HYPERLINK("https://creighton-primo.hosted.exlibrisgroup.com/primo-explore/search?tab=default_tab&amp;search_scope=EVERYTHING&amp;vid=01CRU&amp;lang=en_US&amp;offset=0&amp;query=any,contains,991000959449702656","Catalog Record")</f>
        <v/>
      </c>
      <c r="AT435">
        <f>HYPERLINK("http://www.worldcat.org/oclc/11114252","WorldCat Record")</f>
        <v/>
      </c>
    </row>
    <row r="436">
      <c r="A436" t="inlineStr">
        <is>
          <t>No</t>
        </is>
      </c>
      <c r="B436" t="inlineStr">
        <is>
          <t>QV 126 S487 1981</t>
        </is>
      </c>
      <c r="C436" t="inlineStr">
        <is>
          <t>0                      QV 0126000S  487         1981</t>
        </is>
      </c>
      <c r="D436" t="inlineStr">
        <is>
          <t>Serotonin neurotransmission and behavior / [edited by] Barry L. Jacobs and Alan Gelperin.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Cambridge, Mass. : MIT Press, c1981.</t>
        </is>
      </c>
      <c r="M436" t="inlineStr">
        <is>
          <t>1981</t>
        </is>
      </c>
      <c r="O436" t="inlineStr">
        <is>
          <t>eng</t>
        </is>
      </c>
      <c r="P436" t="inlineStr">
        <is>
          <t>xxu</t>
        </is>
      </c>
      <c r="R436" t="inlineStr">
        <is>
          <t xml:space="preserve">QV </t>
        </is>
      </c>
      <c r="S436" t="n">
        <v>12</v>
      </c>
      <c r="T436" t="n">
        <v>12</v>
      </c>
      <c r="U436" t="inlineStr">
        <is>
          <t>2000-01-13</t>
        </is>
      </c>
      <c r="V436" t="inlineStr">
        <is>
          <t>2000-01-13</t>
        </is>
      </c>
      <c r="W436" t="inlineStr">
        <is>
          <t>1988-02-08</t>
        </is>
      </c>
      <c r="X436" t="inlineStr">
        <is>
          <t>1988-02-08</t>
        </is>
      </c>
      <c r="Y436" t="n">
        <v>248</v>
      </c>
      <c r="Z436" t="n">
        <v>196</v>
      </c>
      <c r="AA436" t="n">
        <v>201</v>
      </c>
      <c r="AB436" t="n">
        <v>3</v>
      </c>
      <c r="AC436" t="n">
        <v>3</v>
      </c>
      <c r="AD436" t="n">
        <v>11</v>
      </c>
      <c r="AE436" t="n">
        <v>11</v>
      </c>
      <c r="AF436" t="n">
        <v>3</v>
      </c>
      <c r="AG436" t="n">
        <v>3</v>
      </c>
      <c r="AH436" t="n">
        <v>5</v>
      </c>
      <c r="AI436" t="n">
        <v>5</v>
      </c>
      <c r="AJ436" t="n">
        <v>5</v>
      </c>
      <c r="AK436" t="n">
        <v>5</v>
      </c>
      <c r="AL436" t="n">
        <v>2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HYPERLINK("https://creighton-primo.hosted.exlibrisgroup.com/primo-explore/search?tab=default_tab&amp;search_scope=EVERYTHING&amp;vid=01CRU&amp;lang=en_US&amp;offset=0&amp;query=any,contains,991000959499702656","Catalog Record")</f>
        <v/>
      </c>
      <c r="AT436">
        <f>HYPERLINK("http://www.worldcat.org/oclc/7464470","WorldCat Record")</f>
        <v/>
      </c>
    </row>
    <row r="437">
      <c r="A437" t="inlineStr">
        <is>
          <t>No</t>
        </is>
      </c>
      <c r="B437" t="inlineStr">
        <is>
          <t>QV 129 L337p 1988</t>
        </is>
      </c>
      <c r="C437" t="inlineStr">
        <is>
          <t>0                      QV 0129000L  337p        1988</t>
        </is>
      </c>
      <c r="D437" t="inlineStr">
        <is>
          <t>Phenylpropanolamine--a review / Louis Lasagna.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Lasagna, Louis, 1923-2003.</t>
        </is>
      </c>
      <c r="L437" t="inlineStr">
        <is>
          <t>New York : Wiley, c1988.</t>
        </is>
      </c>
      <c r="M437" t="inlineStr">
        <is>
          <t>1988</t>
        </is>
      </c>
      <c r="O437" t="inlineStr">
        <is>
          <t>eng</t>
        </is>
      </c>
      <c r="P437" t="inlineStr">
        <is>
          <t>xxu</t>
        </is>
      </c>
      <c r="R437" t="inlineStr">
        <is>
          <t xml:space="preserve">QV </t>
        </is>
      </c>
      <c r="S437" t="n">
        <v>3</v>
      </c>
      <c r="T437" t="n">
        <v>3</v>
      </c>
      <c r="U437" t="inlineStr">
        <is>
          <t>1991-06-25</t>
        </is>
      </c>
      <c r="V437" t="inlineStr">
        <is>
          <t>1991-06-25</t>
        </is>
      </c>
      <c r="W437" t="inlineStr">
        <is>
          <t>1989-03-16</t>
        </is>
      </c>
      <c r="X437" t="inlineStr">
        <is>
          <t>1989-03-16</t>
        </is>
      </c>
      <c r="Y437" t="n">
        <v>144</v>
      </c>
      <c r="Z437" t="n">
        <v>103</v>
      </c>
      <c r="AA437" t="n">
        <v>105</v>
      </c>
      <c r="AB437" t="n">
        <v>1</v>
      </c>
      <c r="AC437" t="n">
        <v>1</v>
      </c>
      <c r="AD437" t="n">
        <v>4</v>
      </c>
      <c r="AE437" t="n">
        <v>4</v>
      </c>
      <c r="AF437" t="n">
        <v>3</v>
      </c>
      <c r="AG437" t="n">
        <v>3</v>
      </c>
      <c r="AH437" t="n">
        <v>2</v>
      </c>
      <c r="AI437" t="n">
        <v>2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HYPERLINK("http://catalog.hathitrust.org/Record/000928151","HathiTrust Record")</f>
        <v/>
      </c>
      <c r="AS437">
        <f>HYPERLINK("https://creighton-primo.hosted.exlibrisgroup.com/primo-explore/search?tab=default_tab&amp;search_scope=EVERYTHING&amp;vid=01CRU&amp;lang=en_US&amp;offset=0&amp;query=any,contains,991001244069702656","Catalog Record")</f>
        <v/>
      </c>
      <c r="AT437">
        <f>HYPERLINK("http://www.worldcat.org/oclc/14904719","WorldCat Record")</f>
        <v/>
      </c>
    </row>
    <row r="438">
      <c r="A438" t="inlineStr">
        <is>
          <t>No</t>
        </is>
      </c>
      <c r="B438" t="inlineStr">
        <is>
          <t>QV 129 M848p 1986</t>
        </is>
      </c>
      <c r="C438" t="inlineStr">
        <is>
          <t>0                      QV 0129000M  848p        1986</t>
        </is>
      </c>
      <c r="D438" t="inlineStr">
        <is>
          <t>Phenylpropanolamine : a critical analysis of reported adverse reactions and overdosage / John P. Morgan.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Morgan, John P.</t>
        </is>
      </c>
      <c r="L438" t="inlineStr">
        <is>
          <t>Fort Lee, N.J. : J.K. Burgess, c1986</t>
        </is>
      </c>
      <c r="M438" t="inlineStr">
        <is>
          <t>1986</t>
        </is>
      </c>
      <c r="O438" t="inlineStr">
        <is>
          <t>eng</t>
        </is>
      </c>
      <c r="P438" t="inlineStr">
        <is>
          <t>xxu</t>
        </is>
      </c>
      <c r="R438" t="inlineStr">
        <is>
          <t xml:space="preserve">QV </t>
        </is>
      </c>
      <c r="S438" t="n">
        <v>3</v>
      </c>
      <c r="T438" t="n">
        <v>3</v>
      </c>
      <c r="U438" t="inlineStr">
        <is>
          <t>2001-03-29</t>
        </is>
      </c>
      <c r="V438" t="inlineStr">
        <is>
          <t>2001-03-29</t>
        </is>
      </c>
      <c r="W438" t="inlineStr">
        <is>
          <t>1988-02-08</t>
        </is>
      </c>
      <c r="X438" t="inlineStr">
        <is>
          <t>1988-02-08</t>
        </is>
      </c>
      <c r="Y438" t="n">
        <v>139</v>
      </c>
      <c r="Z438" t="n">
        <v>113</v>
      </c>
      <c r="AA438" t="n">
        <v>115</v>
      </c>
      <c r="AB438" t="n">
        <v>1</v>
      </c>
      <c r="AC438" t="n">
        <v>1</v>
      </c>
      <c r="AD438" t="n">
        <v>2</v>
      </c>
      <c r="AE438" t="n">
        <v>2</v>
      </c>
      <c r="AF438" t="n">
        <v>0</v>
      </c>
      <c r="AG438" t="n">
        <v>0</v>
      </c>
      <c r="AH438" t="n">
        <v>2</v>
      </c>
      <c r="AI438" t="n">
        <v>2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HYPERLINK("http://catalog.hathitrust.org/Record/000594160","HathiTrust Record")</f>
        <v/>
      </c>
      <c r="AS438">
        <f>HYPERLINK("https://creighton-primo.hosted.exlibrisgroup.com/primo-explore/search?tab=default_tab&amp;search_scope=EVERYTHING&amp;vid=01CRU&amp;lang=en_US&amp;offset=0&amp;query=any,contains,991000959299702656","Catalog Record")</f>
        <v/>
      </c>
      <c r="AT438">
        <f>HYPERLINK("http://www.worldcat.org/oclc/13008505","WorldCat Record")</f>
        <v/>
      </c>
    </row>
    <row r="439">
      <c r="A439" t="inlineStr">
        <is>
          <t>No</t>
        </is>
      </c>
      <c r="B439" t="inlineStr">
        <is>
          <t>QV 132 F917c 1984</t>
        </is>
      </c>
      <c r="C439" t="inlineStr">
        <is>
          <t>0                      QV 0132000F  917c        1984</t>
        </is>
      </c>
      <c r="D439" t="inlineStr">
        <is>
          <t>Clinical pharmacology of the beta-adrenoceptor blocking drugs / William H. Frishman.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Frishman, William H., 1946-</t>
        </is>
      </c>
      <c r="L439" t="inlineStr">
        <is>
          <t>New York : Appleton-Century-Crofts, c1984.</t>
        </is>
      </c>
      <c r="M439" t="inlineStr">
        <is>
          <t>1984</t>
        </is>
      </c>
      <c r="N439" t="inlineStr">
        <is>
          <t>2nd ed.</t>
        </is>
      </c>
      <c r="O439" t="inlineStr">
        <is>
          <t>eng</t>
        </is>
      </c>
      <c r="P439" t="inlineStr">
        <is>
          <t>xxu</t>
        </is>
      </c>
      <c r="R439" t="inlineStr">
        <is>
          <t xml:space="preserve">QV </t>
        </is>
      </c>
      <c r="S439" t="n">
        <v>10</v>
      </c>
      <c r="T439" t="n">
        <v>10</v>
      </c>
      <c r="U439" t="inlineStr">
        <is>
          <t>2007-12-04</t>
        </is>
      </c>
      <c r="V439" t="inlineStr">
        <is>
          <t>2007-12-04</t>
        </is>
      </c>
      <c r="W439" t="inlineStr">
        <is>
          <t>1988-02-08</t>
        </is>
      </c>
      <c r="X439" t="inlineStr">
        <is>
          <t>1988-02-08</t>
        </is>
      </c>
      <c r="Y439" t="n">
        <v>126</v>
      </c>
      <c r="Z439" t="n">
        <v>103</v>
      </c>
      <c r="AA439" t="n">
        <v>105</v>
      </c>
      <c r="AB439" t="n">
        <v>1</v>
      </c>
      <c r="AC439" t="n">
        <v>1</v>
      </c>
      <c r="AD439" t="n">
        <v>1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1</v>
      </c>
      <c r="AL439" t="n">
        <v>0</v>
      </c>
      <c r="AM439" t="n">
        <v>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HYPERLINK("http://catalog.hathitrust.org/Record/000781377","HathiTrust Record")</f>
        <v/>
      </c>
      <c r="AS439">
        <f>HYPERLINK("https://creighton-primo.hosted.exlibrisgroup.com/primo-explore/search?tab=default_tab&amp;search_scope=EVERYTHING&amp;vid=01CRU&amp;lang=en_US&amp;offset=0&amp;query=any,contains,991000959249702656","Catalog Record")</f>
        <v/>
      </c>
      <c r="AT439">
        <f>HYPERLINK("http://www.worldcat.org/oclc/10071497","WorldCat Record")</f>
        <v/>
      </c>
    </row>
    <row r="440">
      <c r="A440" t="inlineStr">
        <is>
          <t>No</t>
        </is>
      </c>
      <c r="B440" t="inlineStr">
        <is>
          <t>QV 132 M553p 1979</t>
        </is>
      </c>
      <c r="C440" t="inlineStr">
        <is>
          <t>0                      QV 0132000M  553p        1979</t>
        </is>
      </c>
      <c r="D440" t="inlineStr">
        <is>
          <t>Proceedings of the timolol intercontinental symposium, : Stockholm, Sweden, October 27-28, 1979 / Lennart Hansson, M.D., Stevo Julius, M.D., Sc.D., and Peter J. Richardson, M.B. M.R.C.P.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Merck, Sharp &amp; Dohme International.</t>
        </is>
      </c>
      <c r="L440" t="inlineStr">
        <is>
          <t>New York : Biomedical Information Corporation, c1981.</t>
        </is>
      </c>
      <c r="M440" t="inlineStr">
        <is>
          <t>1981</t>
        </is>
      </c>
      <c r="O440" t="inlineStr">
        <is>
          <t>eng</t>
        </is>
      </c>
      <c r="P440" t="inlineStr">
        <is>
          <t>nju</t>
        </is>
      </c>
      <c r="R440" t="inlineStr">
        <is>
          <t xml:space="preserve">QV </t>
        </is>
      </c>
      <c r="S440" t="n">
        <v>3</v>
      </c>
      <c r="T440" t="n">
        <v>3</v>
      </c>
      <c r="U440" t="inlineStr">
        <is>
          <t>1994-03-21</t>
        </is>
      </c>
      <c r="V440" t="inlineStr">
        <is>
          <t>1994-03-21</t>
        </is>
      </c>
      <c r="W440" t="inlineStr">
        <is>
          <t>1988-02-08</t>
        </is>
      </c>
      <c r="X440" t="inlineStr">
        <is>
          <t>1988-02-08</t>
        </is>
      </c>
      <c r="Y440" t="n">
        <v>5</v>
      </c>
      <c r="Z440" t="n">
        <v>5</v>
      </c>
      <c r="AA440" t="n">
        <v>5</v>
      </c>
      <c r="AB440" t="n">
        <v>1</v>
      </c>
      <c r="AC440" t="n">
        <v>1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HYPERLINK("https://creighton-primo.hosted.exlibrisgroup.com/primo-explore/search?tab=default_tab&amp;search_scope=EVERYTHING&amp;vid=01CRU&amp;lang=en_US&amp;offset=0&amp;query=any,contains,991000959219702656","Catalog Record")</f>
        <v/>
      </c>
      <c r="AT440">
        <f>HYPERLINK("http://www.worldcat.org/oclc/10101981","WorldCat Record")</f>
        <v/>
      </c>
    </row>
    <row r="441">
      <c r="A441" t="inlineStr">
        <is>
          <t>No</t>
        </is>
      </c>
      <c r="B441" t="inlineStr">
        <is>
          <t>QV 137 C517 1988</t>
        </is>
      </c>
      <c r="C441" t="inlineStr">
        <is>
          <t>0                      QV 0137000C  517         1988</t>
        </is>
      </c>
      <c r="D441" t="inlineStr">
        <is>
          <t>Chemical and biological studies on new cigarette prototypes that heat instead of burn tobacco / R.J. Reynolds Tobacco Company.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Winston-Salem, N.C. : The Company, c1988.</t>
        </is>
      </c>
      <c r="M441" t="inlineStr">
        <is>
          <t>1988</t>
        </is>
      </c>
      <c r="O441" t="inlineStr">
        <is>
          <t>eng</t>
        </is>
      </c>
      <c r="P441" t="inlineStr">
        <is>
          <t>ncu</t>
        </is>
      </c>
      <c r="R441" t="inlineStr">
        <is>
          <t xml:space="preserve">QV </t>
        </is>
      </c>
      <c r="S441" t="n">
        <v>7</v>
      </c>
      <c r="T441" t="n">
        <v>7</v>
      </c>
      <c r="U441" t="inlineStr">
        <is>
          <t>1999-03-16</t>
        </is>
      </c>
      <c r="V441" t="inlineStr">
        <is>
          <t>1999-03-16</t>
        </is>
      </c>
      <c r="W441" t="inlineStr">
        <is>
          <t>1989-01-26</t>
        </is>
      </c>
      <c r="X441" t="inlineStr">
        <is>
          <t>1989-01-26</t>
        </is>
      </c>
      <c r="Y441" t="n">
        <v>88</v>
      </c>
      <c r="Z441" t="n">
        <v>83</v>
      </c>
      <c r="AA441" t="n">
        <v>83</v>
      </c>
      <c r="AB441" t="n">
        <v>1</v>
      </c>
      <c r="AC441" t="n">
        <v>1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HYPERLINK("https://creighton-primo.hosted.exlibrisgroup.com/primo-explore/search?tab=default_tab&amp;search_scope=EVERYTHING&amp;vid=01CRU&amp;lang=en_US&amp;offset=0&amp;query=any,contains,991001426849702656","Catalog Record")</f>
        <v/>
      </c>
      <c r="AT441">
        <f>HYPERLINK("http://www.worldcat.org/oclc/20410581","WorldCat Record")</f>
        <v/>
      </c>
    </row>
    <row r="442">
      <c r="A442" t="inlineStr">
        <is>
          <t>No</t>
        </is>
      </c>
      <c r="B442" t="inlineStr">
        <is>
          <t>QV 137 H456s 1969</t>
        </is>
      </c>
      <c r="C442" t="inlineStr">
        <is>
          <t>0                      QV 0137000H  456s        1969</t>
        </is>
      </c>
      <c r="D442" t="inlineStr">
        <is>
          <t>Smoking, tobacco, and health / James L. Hedrick.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Hedrick, James L.</t>
        </is>
      </c>
      <c r="L442" t="inlineStr">
        <is>
          <t>[Washington] : U.S. Health Services and Mental Health Administration, 1969.</t>
        </is>
      </c>
      <c r="M442" t="inlineStr">
        <is>
          <t>1969</t>
        </is>
      </c>
      <c r="N442" t="inlineStr">
        <is>
          <t>Rev.</t>
        </is>
      </c>
      <c r="O442" t="inlineStr">
        <is>
          <t>eng</t>
        </is>
      </c>
      <c r="P442" t="inlineStr">
        <is>
          <t>dcu</t>
        </is>
      </c>
      <c r="Q442" t="inlineStr">
        <is>
          <t>Public Health Service publication ; no. 1931</t>
        </is>
      </c>
      <c r="R442" t="inlineStr">
        <is>
          <t xml:space="preserve">QV </t>
        </is>
      </c>
      <c r="S442" t="n">
        <v>5</v>
      </c>
      <c r="T442" t="n">
        <v>5</v>
      </c>
      <c r="U442" t="inlineStr">
        <is>
          <t>1999-03-16</t>
        </is>
      </c>
      <c r="V442" t="inlineStr">
        <is>
          <t>1999-03-16</t>
        </is>
      </c>
      <c r="W442" t="inlineStr">
        <is>
          <t>1991-09-12</t>
        </is>
      </c>
      <c r="X442" t="inlineStr">
        <is>
          <t>1991-09-12</t>
        </is>
      </c>
      <c r="Y442" t="n">
        <v>219</v>
      </c>
      <c r="Z442" t="n">
        <v>210</v>
      </c>
      <c r="AA442" t="n">
        <v>224</v>
      </c>
      <c r="AB442" t="n">
        <v>4</v>
      </c>
      <c r="AC442" t="n">
        <v>4</v>
      </c>
      <c r="AD442" t="n">
        <v>8</v>
      </c>
      <c r="AE442" t="n">
        <v>8</v>
      </c>
      <c r="AF442" t="n">
        <v>0</v>
      </c>
      <c r="AG442" t="n">
        <v>0</v>
      </c>
      <c r="AH442" t="n">
        <v>1</v>
      </c>
      <c r="AI442" t="n">
        <v>1</v>
      </c>
      <c r="AJ442" t="n">
        <v>4</v>
      </c>
      <c r="AK442" t="n">
        <v>4</v>
      </c>
      <c r="AL442" t="n">
        <v>3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HYPERLINK("http://catalog.hathitrust.org/Record/001578292","HathiTrust Record")</f>
        <v/>
      </c>
      <c r="AS442">
        <f>HYPERLINK("https://creighton-primo.hosted.exlibrisgroup.com/primo-explore/search?tab=default_tab&amp;search_scope=EVERYTHING&amp;vid=01CRU&amp;lang=en_US&amp;offset=0&amp;query=any,contains,991001014069702656","Catalog Record")</f>
        <v/>
      </c>
      <c r="AT442">
        <f>HYPERLINK("http://www.worldcat.org/oclc/814403","WorldCat Record")</f>
        <v/>
      </c>
    </row>
    <row r="443">
      <c r="A443" t="inlineStr">
        <is>
          <t>No</t>
        </is>
      </c>
      <c r="B443" t="inlineStr">
        <is>
          <t>QV 137 H847 1994</t>
        </is>
      </c>
      <c r="C443" t="inlineStr">
        <is>
          <t>0                      QV 0137000H  847         1994</t>
        </is>
      </c>
      <c r="D443" t="inlineStr">
        <is>
          <t>How to help patients stop smoking : guidelines for diagnosis and treatment of nicotine dependence / American Medical Association ; [authors, Thomas P. Houston ... et al.].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Chicago, Ill. : The Association, c1994.</t>
        </is>
      </c>
      <c r="M443" t="inlineStr">
        <is>
          <t>1994</t>
        </is>
      </c>
      <c r="O443" t="inlineStr">
        <is>
          <t>eng</t>
        </is>
      </c>
      <c r="P443" t="inlineStr">
        <is>
          <t>ilu</t>
        </is>
      </c>
      <c r="R443" t="inlineStr">
        <is>
          <t xml:space="preserve">QV </t>
        </is>
      </c>
      <c r="S443" t="n">
        <v>16</v>
      </c>
      <c r="T443" t="n">
        <v>16</v>
      </c>
      <c r="U443" t="inlineStr">
        <is>
          <t>1999-11-18</t>
        </is>
      </c>
      <c r="V443" t="inlineStr">
        <is>
          <t>1999-11-18</t>
        </is>
      </c>
      <c r="W443" t="inlineStr">
        <is>
          <t>1994-09-07</t>
        </is>
      </c>
      <c r="X443" t="inlineStr">
        <is>
          <t>1994-09-07</t>
        </is>
      </c>
      <c r="Y443" t="n">
        <v>15</v>
      </c>
      <c r="Z443" t="n">
        <v>13</v>
      </c>
      <c r="AA443" t="n">
        <v>15</v>
      </c>
      <c r="AB443" t="n">
        <v>1</v>
      </c>
      <c r="AC443" t="n">
        <v>1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HYPERLINK("http://catalog.hathitrust.org/Record/005389058","HathiTrust Record")</f>
        <v/>
      </c>
      <c r="AS443">
        <f>HYPERLINK("https://creighton-primo.hosted.exlibrisgroup.com/primo-explore/search?tab=default_tab&amp;search_scope=EVERYTHING&amp;vid=01CRU&amp;lang=en_US&amp;offset=0&amp;query=any,contains,991000677189702656","Catalog Record")</f>
        <v/>
      </c>
      <c r="AT443">
        <f>HYPERLINK("http://www.worldcat.org/oclc/29999391","WorldCat Record")</f>
        <v/>
      </c>
    </row>
    <row r="444">
      <c r="A444" t="inlineStr">
        <is>
          <t>No</t>
        </is>
      </c>
      <c r="B444" t="inlineStr">
        <is>
          <t>QV 137 N532 1990</t>
        </is>
      </c>
      <c r="C444" t="inlineStr">
        <is>
          <t>0                      QV 0137000N  532         1990</t>
        </is>
      </c>
      <c r="D444" t="inlineStr">
        <is>
          <t>New developments in nicotine-delivery systems / Jack E. Henningfield, Maxine L. Stitzer, editors.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Ossining, N.Y. : Cortlandt Communications, c1991.</t>
        </is>
      </c>
      <c r="M444" t="inlineStr">
        <is>
          <t>1991</t>
        </is>
      </c>
      <c r="O444" t="inlineStr">
        <is>
          <t>eng</t>
        </is>
      </c>
      <c r="P444" t="inlineStr">
        <is>
          <t>nyu</t>
        </is>
      </c>
      <c r="R444" t="inlineStr">
        <is>
          <t xml:space="preserve">QV </t>
        </is>
      </c>
      <c r="S444" t="n">
        <v>15</v>
      </c>
      <c r="T444" t="n">
        <v>15</v>
      </c>
      <c r="U444" t="inlineStr">
        <is>
          <t>1999-04-13</t>
        </is>
      </c>
      <c r="V444" t="inlineStr">
        <is>
          <t>1999-04-13</t>
        </is>
      </c>
      <c r="W444" t="inlineStr">
        <is>
          <t>1992-06-09</t>
        </is>
      </c>
      <c r="X444" t="inlineStr">
        <is>
          <t>1992-06-09</t>
        </is>
      </c>
      <c r="Y444" t="n">
        <v>22</v>
      </c>
      <c r="Z444" t="n">
        <v>20</v>
      </c>
      <c r="AA444" t="n">
        <v>22</v>
      </c>
      <c r="AB444" t="n">
        <v>1</v>
      </c>
      <c r="AC444" t="n">
        <v>1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HYPERLINK("http://catalog.hathitrust.org/Record/002622104","HathiTrust Record")</f>
        <v/>
      </c>
      <c r="AS444">
        <f>HYPERLINK("https://creighton-primo.hosted.exlibrisgroup.com/primo-explore/search?tab=default_tab&amp;search_scope=EVERYTHING&amp;vid=01CRU&amp;lang=en_US&amp;offset=0&amp;query=any,contains,991001307079702656","Catalog Record")</f>
        <v/>
      </c>
      <c r="AT444">
        <f>HYPERLINK("http://www.worldcat.org/oclc/25512801","WorldCat Record")</f>
        <v/>
      </c>
    </row>
    <row r="445">
      <c r="A445" t="inlineStr">
        <is>
          <t>No</t>
        </is>
      </c>
      <c r="B445" t="inlineStr">
        <is>
          <t>QV 137 N662 1993</t>
        </is>
      </c>
      <c r="C445" t="inlineStr">
        <is>
          <t>0                      QV 0137000N  662         1993</t>
        </is>
      </c>
      <c r="D445" t="inlineStr">
        <is>
          <t>Nicotine addiction : principles and management / edited by C. Tracy Orleans, John Slade.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New York : Oxford University Press, 1993.</t>
        </is>
      </c>
      <c r="M445" t="inlineStr">
        <is>
          <t>1993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QV </t>
        </is>
      </c>
      <c r="S445" t="n">
        <v>15</v>
      </c>
      <c r="T445" t="n">
        <v>15</v>
      </c>
      <c r="U445" t="inlineStr">
        <is>
          <t>2002-01-31</t>
        </is>
      </c>
      <c r="V445" t="inlineStr">
        <is>
          <t>2002-01-31</t>
        </is>
      </c>
      <c r="W445" t="inlineStr">
        <is>
          <t>1993-12-15</t>
        </is>
      </c>
      <c r="X445" t="inlineStr">
        <is>
          <t>1993-12-15</t>
        </is>
      </c>
      <c r="Y445" t="n">
        <v>324</v>
      </c>
      <c r="Z445" t="n">
        <v>270</v>
      </c>
      <c r="AA445" t="n">
        <v>276</v>
      </c>
      <c r="AB445" t="n">
        <v>2</v>
      </c>
      <c r="AC445" t="n">
        <v>2</v>
      </c>
      <c r="AD445" t="n">
        <v>13</v>
      </c>
      <c r="AE445" t="n">
        <v>13</v>
      </c>
      <c r="AF445" t="n">
        <v>4</v>
      </c>
      <c r="AG445" t="n">
        <v>4</v>
      </c>
      <c r="AH445" t="n">
        <v>1</v>
      </c>
      <c r="AI445" t="n">
        <v>1</v>
      </c>
      <c r="AJ445" t="n">
        <v>11</v>
      </c>
      <c r="AK445" t="n">
        <v>11</v>
      </c>
      <c r="AL445" t="n">
        <v>1</v>
      </c>
      <c r="AM445" t="n">
        <v>1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HYPERLINK("https://creighton-primo.hosted.exlibrisgroup.com/primo-explore/search?tab=default_tab&amp;search_scope=EVERYTHING&amp;vid=01CRU&amp;lang=en_US&amp;offset=0&amp;query=any,contains,991000646529702656","Catalog Record")</f>
        <v/>
      </c>
      <c r="AT445">
        <f>HYPERLINK("http://www.worldcat.org/oclc/26553051","WorldCat Record")</f>
        <v/>
      </c>
    </row>
    <row r="446">
      <c r="A446" t="inlineStr">
        <is>
          <t>No</t>
        </is>
      </c>
      <c r="B446" t="inlineStr">
        <is>
          <t>QV 137 N877s 1957</t>
        </is>
      </c>
      <c r="C446" t="inlineStr">
        <is>
          <t>0                      QV 0137000N  877s        1957</t>
        </is>
      </c>
      <c r="D446" t="inlineStr">
        <is>
          <t>Science looks at smoking : a new inquiry into the effects of smoking on your health / by Eric Northrup ; introd. by Harry S.N. Greene.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Northrup, Eric.</t>
        </is>
      </c>
      <c r="L446" t="inlineStr">
        <is>
          <t>New York : Coward-McCann, c1957.</t>
        </is>
      </c>
      <c r="M446" t="inlineStr">
        <is>
          <t>1957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QV </t>
        </is>
      </c>
      <c r="S446" t="n">
        <v>5</v>
      </c>
      <c r="T446" t="n">
        <v>5</v>
      </c>
      <c r="U446" t="inlineStr">
        <is>
          <t>1999-03-30</t>
        </is>
      </c>
      <c r="V446" t="inlineStr">
        <is>
          <t>1999-03-30</t>
        </is>
      </c>
      <c r="W446" t="inlineStr">
        <is>
          <t>1988-02-08</t>
        </is>
      </c>
      <c r="X446" t="inlineStr">
        <is>
          <t>1988-02-08</t>
        </is>
      </c>
      <c r="Y446" t="n">
        <v>471</v>
      </c>
      <c r="Z446" t="n">
        <v>460</v>
      </c>
      <c r="AA446" t="n">
        <v>479</v>
      </c>
      <c r="AB446" t="n">
        <v>5</v>
      </c>
      <c r="AC446" t="n">
        <v>5</v>
      </c>
      <c r="AD446" t="n">
        <v>23</v>
      </c>
      <c r="AE446" t="n">
        <v>24</v>
      </c>
      <c r="AF446" t="n">
        <v>12</v>
      </c>
      <c r="AG446" t="n">
        <v>12</v>
      </c>
      <c r="AH446" t="n">
        <v>3</v>
      </c>
      <c r="AI446" t="n">
        <v>4</v>
      </c>
      <c r="AJ446" t="n">
        <v>11</v>
      </c>
      <c r="AK446" t="n">
        <v>11</v>
      </c>
      <c r="AL446" t="n">
        <v>3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R446">
        <f>HYPERLINK("http://catalog.hathitrust.org/Record/001556011","HathiTrust Record")</f>
        <v/>
      </c>
      <c r="AS446">
        <f>HYPERLINK("https://creighton-primo.hosted.exlibrisgroup.com/primo-explore/search?tab=default_tab&amp;search_scope=EVERYTHING&amp;vid=01CRU&amp;lang=en_US&amp;offset=0&amp;query=any,contains,991000959779702656","Catalog Record")</f>
        <v/>
      </c>
      <c r="AT446">
        <f>HYPERLINK("http://www.worldcat.org/oclc/1331265","WorldCat Record")</f>
        <v/>
      </c>
    </row>
    <row r="447">
      <c r="A447" t="inlineStr">
        <is>
          <t>No</t>
        </is>
      </c>
      <c r="B447" t="inlineStr">
        <is>
          <t>QV 137 R434 1993</t>
        </is>
      </c>
      <c r="C447" t="inlineStr">
        <is>
          <t>0                      QV 0137000R  434         1993</t>
        </is>
      </c>
      <c r="D447" t="inlineStr">
        <is>
          <t>Respiratory health effects of passive smoking : lung cancer and other disorders / U.S. Environmental Protection Agency, U.S. Department or health and human services.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Washington, D.C. : U. S. Dept. of Health and Human Services, U. S. Environmental Protection Agency, 1993.</t>
        </is>
      </c>
      <c r="M447" t="inlineStr">
        <is>
          <t>1993</t>
        </is>
      </c>
      <c r="O447" t="inlineStr">
        <is>
          <t>eng</t>
        </is>
      </c>
      <c r="P447" t="inlineStr">
        <is>
          <t>dcu</t>
        </is>
      </c>
      <c r="Q447" t="inlineStr">
        <is>
          <t>Smoking and tobacco control ; monograph 4.</t>
        </is>
      </c>
      <c r="R447" t="inlineStr">
        <is>
          <t xml:space="preserve">QV </t>
        </is>
      </c>
      <c r="S447" t="n">
        <v>19</v>
      </c>
      <c r="T447" t="n">
        <v>19</v>
      </c>
      <c r="U447" t="inlineStr">
        <is>
          <t>2002-04-25</t>
        </is>
      </c>
      <c r="V447" t="inlineStr">
        <is>
          <t>2002-04-25</t>
        </is>
      </c>
      <c r="W447" t="inlineStr">
        <is>
          <t>1994-02-14</t>
        </is>
      </c>
      <c r="X447" t="inlineStr">
        <is>
          <t>1994-02-14</t>
        </is>
      </c>
      <c r="Y447" t="n">
        <v>212</v>
      </c>
      <c r="Z447" t="n">
        <v>176</v>
      </c>
      <c r="AA447" t="n">
        <v>348</v>
      </c>
      <c r="AB447" t="n">
        <v>2</v>
      </c>
      <c r="AC447" t="n">
        <v>4</v>
      </c>
      <c r="AD447" t="n">
        <v>5</v>
      </c>
      <c r="AE447" t="n">
        <v>13</v>
      </c>
      <c r="AF447" t="n">
        <v>2</v>
      </c>
      <c r="AG447" t="n">
        <v>4</v>
      </c>
      <c r="AH447" t="n">
        <v>0</v>
      </c>
      <c r="AI447" t="n">
        <v>2</v>
      </c>
      <c r="AJ447" t="n">
        <v>2</v>
      </c>
      <c r="AK447" t="n">
        <v>5</v>
      </c>
      <c r="AL447" t="n">
        <v>0</v>
      </c>
      <c r="AM447" t="n">
        <v>1</v>
      </c>
      <c r="AN447" t="n">
        <v>1</v>
      </c>
      <c r="AO447" t="n">
        <v>1</v>
      </c>
      <c r="AP447" t="inlineStr">
        <is>
          <t>Yes</t>
        </is>
      </c>
      <c r="AQ447" t="inlineStr">
        <is>
          <t>No</t>
        </is>
      </c>
      <c r="AR447">
        <f>HYPERLINK("http://catalog.hathitrust.org/Record/102194674","HathiTrust Record")</f>
        <v/>
      </c>
      <c r="AS447">
        <f>HYPERLINK("https://creighton-primo.hosted.exlibrisgroup.com/primo-explore/search?tab=default_tab&amp;search_scope=EVERYTHING&amp;vid=01CRU&amp;lang=en_US&amp;offset=0&amp;query=any,contains,991000668249702656","Catalog Record")</f>
        <v/>
      </c>
      <c r="AT447">
        <f>HYPERLINK("http://www.worldcat.org/oclc/32383418","WorldCat Record")</f>
        <v/>
      </c>
    </row>
    <row r="448">
      <c r="A448" t="inlineStr">
        <is>
          <t>No</t>
        </is>
      </c>
      <c r="B448" t="inlineStr">
        <is>
          <t>QV 137 R845t 1951</t>
        </is>
      </c>
      <c r="C448" t="inlineStr">
        <is>
          <t>0                      QV 0137000R  845t        1951</t>
        </is>
      </c>
      <c r="D448" t="inlineStr">
        <is>
          <t>Tobacco and the cardiovascular system : the effects of smoking and of nicotine on normal persons.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Roth, Grace Marguerite, 1896-</t>
        </is>
      </c>
      <c r="L448" t="inlineStr">
        <is>
          <t>Springfield, Ill. : Thomas, 1951.</t>
        </is>
      </c>
      <c r="M448" t="inlineStr">
        <is>
          <t>1951</t>
        </is>
      </c>
      <c r="O448" t="inlineStr">
        <is>
          <t>eng</t>
        </is>
      </c>
      <c r="P448" t="inlineStr">
        <is>
          <t xml:space="preserve">xx </t>
        </is>
      </c>
      <c r="Q448" t="inlineStr">
        <is>
          <t>American lecture series ; publication no. 100. American lectures in circulation</t>
        </is>
      </c>
      <c r="R448" t="inlineStr">
        <is>
          <t xml:space="preserve">QV </t>
        </is>
      </c>
      <c r="S448" t="n">
        <v>7</v>
      </c>
      <c r="T448" t="n">
        <v>7</v>
      </c>
      <c r="U448" t="inlineStr">
        <is>
          <t>1999-03-16</t>
        </is>
      </c>
      <c r="V448" t="inlineStr">
        <is>
          <t>1999-03-16</t>
        </is>
      </c>
      <c r="W448" t="inlineStr">
        <is>
          <t>1988-03-17</t>
        </is>
      </c>
      <c r="X448" t="inlineStr">
        <is>
          <t>1988-03-17</t>
        </is>
      </c>
      <c r="Y448" t="n">
        <v>115</v>
      </c>
      <c r="Z448" t="n">
        <v>104</v>
      </c>
      <c r="AA448" t="n">
        <v>105</v>
      </c>
      <c r="AB448" t="n">
        <v>3</v>
      </c>
      <c r="AC448" t="n">
        <v>3</v>
      </c>
      <c r="AD448" t="n">
        <v>4</v>
      </c>
      <c r="AE448" t="n">
        <v>4</v>
      </c>
      <c r="AF448" t="n">
        <v>0</v>
      </c>
      <c r="AG448" t="n">
        <v>0</v>
      </c>
      <c r="AH448" t="n">
        <v>1</v>
      </c>
      <c r="AI448" t="n">
        <v>1</v>
      </c>
      <c r="AJ448" t="n">
        <v>1</v>
      </c>
      <c r="AK448" t="n">
        <v>1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R448">
        <f>HYPERLINK("http://catalog.hathitrust.org/Record/000854752","HathiTrust Record")</f>
        <v/>
      </c>
      <c r="AS448">
        <f>HYPERLINK("https://creighton-primo.hosted.exlibrisgroup.com/primo-explore/search?tab=default_tab&amp;search_scope=EVERYTHING&amp;vid=01CRU&amp;lang=en_US&amp;offset=0&amp;query=any,contains,991000959739702656","Catalog Record")</f>
        <v/>
      </c>
      <c r="AT448">
        <f>HYPERLINK("http://www.worldcat.org/oclc/3175025","WorldCat Record")</f>
        <v/>
      </c>
    </row>
    <row r="449">
      <c r="A449" t="inlineStr">
        <is>
          <t>No</t>
        </is>
      </c>
      <c r="B449" t="inlineStr">
        <is>
          <t>QV 137 S666 1992</t>
        </is>
      </c>
      <c r="C449" t="inlineStr">
        <is>
          <t>0                      QV 0137000S  666         1992</t>
        </is>
      </c>
      <c r="D449" t="inlineStr">
        <is>
          <t>Smokeless tobacco or health : an international perspective.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[Rockville, Md] : U.S. Department of Health and Human Services, Public Health Service, National Institutes of Health, [National Cancer Institute], 1992.</t>
        </is>
      </c>
      <c r="M449" t="inlineStr">
        <is>
          <t>1992</t>
        </is>
      </c>
      <c r="O449" t="inlineStr">
        <is>
          <t>eng</t>
        </is>
      </c>
      <c r="P449" t="inlineStr">
        <is>
          <t>mdu</t>
        </is>
      </c>
      <c r="Q449" t="inlineStr">
        <is>
          <t>NIH publication ; no. 92-3461</t>
        </is>
      </c>
      <c r="R449" t="inlineStr">
        <is>
          <t xml:space="preserve">QV </t>
        </is>
      </c>
      <c r="S449" t="n">
        <v>3</v>
      </c>
      <c r="T449" t="n">
        <v>3</v>
      </c>
      <c r="U449" t="inlineStr">
        <is>
          <t>1995-05-02</t>
        </is>
      </c>
      <c r="V449" t="inlineStr">
        <is>
          <t>1995-05-02</t>
        </is>
      </c>
      <c r="W449" t="inlineStr">
        <is>
          <t>1993-11-16</t>
        </is>
      </c>
      <c r="X449" t="inlineStr">
        <is>
          <t>1993-11-16</t>
        </is>
      </c>
      <c r="Y449" t="n">
        <v>134</v>
      </c>
      <c r="Z449" t="n">
        <v>126</v>
      </c>
      <c r="AA449" t="n">
        <v>134</v>
      </c>
      <c r="AB449" t="n">
        <v>1</v>
      </c>
      <c r="AC449" t="n">
        <v>1</v>
      </c>
      <c r="AD449" t="n">
        <v>3</v>
      </c>
      <c r="AE449" t="n">
        <v>3</v>
      </c>
      <c r="AF449" t="n">
        <v>1</v>
      </c>
      <c r="AG449" t="n">
        <v>1</v>
      </c>
      <c r="AH449" t="n">
        <v>0</v>
      </c>
      <c r="AI449" t="n">
        <v>0</v>
      </c>
      <c r="AJ449" t="n">
        <v>1</v>
      </c>
      <c r="AK449" t="n">
        <v>1</v>
      </c>
      <c r="AL449" t="n">
        <v>0</v>
      </c>
      <c r="AM449" t="n">
        <v>0</v>
      </c>
      <c r="AN449" t="n">
        <v>1</v>
      </c>
      <c r="AO449" t="n">
        <v>1</v>
      </c>
      <c r="AP449" t="inlineStr">
        <is>
          <t>Yes</t>
        </is>
      </c>
      <c r="AQ449" t="inlineStr">
        <is>
          <t>No</t>
        </is>
      </c>
      <c r="AR449">
        <f>HYPERLINK("http://catalog.hathitrust.org/Record/002792368","HathiTrust Record")</f>
        <v/>
      </c>
      <c r="AS449">
        <f>HYPERLINK("https://creighton-primo.hosted.exlibrisgroup.com/primo-explore/search?tab=default_tab&amp;search_scope=EVERYTHING&amp;vid=01CRU&amp;lang=en_US&amp;offset=0&amp;query=any,contains,991001515619702656","Catalog Record")</f>
        <v/>
      </c>
      <c r="AT449">
        <f>HYPERLINK("http://www.worldcat.org/oclc/27865488","WorldCat Record")</f>
        <v/>
      </c>
    </row>
    <row r="450">
      <c r="A450" t="inlineStr">
        <is>
          <t>No</t>
        </is>
      </c>
      <c r="B450" t="inlineStr">
        <is>
          <t>QV 137 U575h 1990</t>
        </is>
      </c>
      <c r="C450" t="inlineStr">
        <is>
          <t>0                      QV 0137000U  575h        1990</t>
        </is>
      </c>
      <c r="D450" t="inlineStr">
        <is>
          <t>The health benefits of smoking cessation : a report of the Surgeon General, 1990.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United States. Public Health Service. Office of the Surgeon General.</t>
        </is>
      </c>
      <c r="L450" t="inlineStr">
        <is>
          <t>Rockville, Md. : U.S. Dept. of Health and Human Services, Public Health Service, Centers for Disease Control, Center for Chronic Disease Prevention and Health Promotion, Office on Smoking and Health, [1990]</t>
        </is>
      </c>
      <c r="M450" t="inlineStr">
        <is>
          <t>1990</t>
        </is>
      </c>
      <c r="O450" t="inlineStr">
        <is>
          <t>eng</t>
        </is>
      </c>
      <c r="P450" t="inlineStr">
        <is>
          <t>xxu</t>
        </is>
      </c>
      <c r="Q450" t="inlineStr">
        <is>
          <t>DHHS publication ; no. (CDC) 90-8416</t>
        </is>
      </c>
      <c r="R450" t="inlineStr">
        <is>
          <t xml:space="preserve">QV </t>
        </is>
      </c>
      <c r="S450" t="n">
        <v>29</v>
      </c>
      <c r="T450" t="n">
        <v>29</v>
      </c>
      <c r="U450" t="inlineStr">
        <is>
          <t>2001-04-18</t>
        </is>
      </c>
      <c r="V450" t="inlineStr">
        <is>
          <t>2001-04-18</t>
        </is>
      </c>
      <c r="W450" t="inlineStr">
        <is>
          <t>1991-05-23</t>
        </is>
      </c>
      <c r="X450" t="inlineStr">
        <is>
          <t>1991-05-23</t>
        </is>
      </c>
      <c r="Y450" t="n">
        <v>79</v>
      </c>
      <c r="Z450" t="n">
        <v>66</v>
      </c>
      <c r="AA450" t="n">
        <v>66</v>
      </c>
      <c r="AB450" t="n">
        <v>1</v>
      </c>
      <c r="AC450" t="n">
        <v>1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HYPERLINK("https://creighton-primo.hosted.exlibrisgroup.com/primo-explore/search?tab=default_tab&amp;search_scope=EVERYTHING&amp;vid=01CRU&amp;lang=en_US&amp;offset=0&amp;query=any,contains,991000937229702656","Catalog Record")</f>
        <v/>
      </c>
      <c r="AT450">
        <f>HYPERLINK("http://www.worldcat.org/oclc/23145226","WorldCat Record")</f>
        <v/>
      </c>
    </row>
    <row r="451">
      <c r="A451" t="inlineStr">
        <is>
          <t>No</t>
        </is>
      </c>
      <c r="B451" t="inlineStr">
        <is>
          <t>QV 140 B787p 1990</t>
        </is>
      </c>
      <c r="C451" t="inlineStr">
        <is>
          <t>0                      QV 0140000B  787p        1990</t>
        </is>
      </c>
      <c r="D451" t="inlineStr">
        <is>
          <t>Pharmacology of neuromuscular function / William C. Bowman.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Bowman, W. C.</t>
        </is>
      </c>
      <c r="L451" t="inlineStr">
        <is>
          <t>London ; Boston : Wright, c1990.</t>
        </is>
      </c>
      <c r="M451" t="inlineStr">
        <is>
          <t>1990</t>
        </is>
      </c>
      <c r="N451" t="inlineStr">
        <is>
          <t>2nd ed.</t>
        </is>
      </c>
      <c r="O451" t="inlineStr">
        <is>
          <t>eng</t>
        </is>
      </c>
      <c r="P451" t="inlineStr">
        <is>
          <t>enk</t>
        </is>
      </c>
      <c r="R451" t="inlineStr">
        <is>
          <t xml:space="preserve">QV </t>
        </is>
      </c>
      <c r="S451" t="n">
        <v>9</v>
      </c>
      <c r="T451" t="n">
        <v>9</v>
      </c>
      <c r="U451" t="inlineStr">
        <is>
          <t>1999-10-09</t>
        </is>
      </c>
      <c r="V451" t="inlineStr">
        <is>
          <t>1999-10-09</t>
        </is>
      </c>
      <c r="W451" t="inlineStr">
        <is>
          <t>1991-01-30</t>
        </is>
      </c>
      <c r="X451" t="inlineStr">
        <is>
          <t>1991-01-30</t>
        </is>
      </c>
      <c r="Y451" t="n">
        <v>111</v>
      </c>
      <c r="Z451" t="n">
        <v>57</v>
      </c>
      <c r="AA451" t="n">
        <v>105</v>
      </c>
      <c r="AB451" t="n">
        <v>2</v>
      </c>
      <c r="AC451" t="n">
        <v>2</v>
      </c>
      <c r="AD451" t="n">
        <v>5</v>
      </c>
      <c r="AE451" t="n">
        <v>7</v>
      </c>
      <c r="AF451" t="n">
        <v>2</v>
      </c>
      <c r="AG451" t="n">
        <v>3</v>
      </c>
      <c r="AH451" t="n">
        <v>2</v>
      </c>
      <c r="AI451" t="n">
        <v>4</v>
      </c>
      <c r="AJ451" t="n">
        <v>1</v>
      </c>
      <c r="AK451" t="n">
        <v>1</v>
      </c>
      <c r="AL451" t="n">
        <v>1</v>
      </c>
      <c r="AM451" t="n">
        <v>1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HYPERLINK("http://catalog.hathitrust.org/Record/002055997","HathiTrust Record")</f>
        <v/>
      </c>
      <c r="AS451">
        <f>HYPERLINK("https://creighton-primo.hosted.exlibrisgroup.com/primo-explore/search?tab=default_tab&amp;search_scope=EVERYTHING&amp;vid=01CRU&amp;lang=en_US&amp;offset=0&amp;query=any,contains,991000816579702656","Catalog Record")</f>
        <v/>
      </c>
      <c r="AT451">
        <f>HYPERLINK("http://www.worldcat.org/oclc/20722614","WorldCat Record")</f>
        <v/>
      </c>
    </row>
    <row r="452">
      <c r="A452" t="inlineStr">
        <is>
          <t>No</t>
        </is>
      </c>
      <c r="B452" t="inlineStr">
        <is>
          <t>QV 140 S847m 1959</t>
        </is>
      </c>
      <c r="C452" t="inlineStr">
        <is>
          <t>0                      QV 0140000S  847m        1959</t>
        </is>
      </c>
      <c r="D452" t="inlineStr">
        <is>
          <t>The meaning of poison.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Stevenson, Lloyd G.</t>
        </is>
      </c>
      <c r="L452" t="inlineStr">
        <is>
          <t>Lawrence : University of Kansas Press, 1959.</t>
        </is>
      </c>
      <c r="M452" t="inlineStr">
        <is>
          <t>1959</t>
        </is>
      </c>
      <c r="O452" t="inlineStr">
        <is>
          <t>eng</t>
        </is>
      </c>
      <c r="P452" t="inlineStr">
        <is>
          <t xml:space="preserve">xx </t>
        </is>
      </c>
      <c r="Q452" t="inlineStr">
        <is>
          <t>Logan Clendening lectures on the history and philosophy of medicine ; 7th ser.</t>
        </is>
      </c>
      <c r="R452" t="inlineStr">
        <is>
          <t xml:space="preserve">QV </t>
        </is>
      </c>
      <c r="S452" t="n">
        <v>2</v>
      </c>
      <c r="T452" t="n">
        <v>2</v>
      </c>
      <c r="U452" t="inlineStr">
        <is>
          <t>1996-11-21</t>
        </is>
      </c>
      <c r="V452" t="inlineStr">
        <is>
          <t>1996-11-21</t>
        </is>
      </c>
      <c r="W452" t="inlineStr">
        <is>
          <t>1988-03-17</t>
        </is>
      </c>
      <c r="X452" t="inlineStr">
        <is>
          <t>1988-03-17</t>
        </is>
      </c>
      <c r="Y452" t="n">
        <v>142</v>
      </c>
      <c r="Z452" t="n">
        <v>108</v>
      </c>
      <c r="AA452" t="n">
        <v>110</v>
      </c>
      <c r="AB452" t="n">
        <v>1</v>
      </c>
      <c r="AC452" t="n">
        <v>1</v>
      </c>
      <c r="AD452" t="n">
        <v>3</v>
      </c>
      <c r="AE452" t="n">
        <v>3</v>
      </c>
      <c r="AF452" t="n">
        <v>2</v>
      </c>
      <c r="AG452" t="n">
        <v>2</v>
      </c>
      <c r="AH452" t="n">
        <v>0</v>
      </c>
      <c r="AI452" t="n">
        <v>0</v>
      </c>
      <c r="AJ452" t="n">
        <v>3</v>
      </c>
      <c r="AK452" t="n">
        <v>3</v>
      </c>
      <c r="AL452" t="n">
        <v>0</v>
      </c>
      <c r="AM452" t="n">
        <v>0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R452">
        <f>HYPERLINK("http://catalog.hathitrust.org/Record/001560521","HathiTrust Record")</f>
        <v/>
      </c>
      <c r="AS452">
        <f>HYPERLINK("https://creighton-primo.hosted.exlibrisgroup.com/primo-explore/search?tab=default_tab&amp;search_scope=EVERYTHING&amp;vid=01CRU&amp;lang=en_US&amp;offset=0&amp;query=any,contains,991000959699702656","Catalog Record")</f>
        <v/>
      </c>
      <c r="AT452">
        <f>HYPERLINK("http://www.worldcat.org/oclc/3270704","WorldCat Record")</f>
        <v/>
      </c>
    </row>
    <row r="453">
      <c r="A453" t="inlineStr">
        <is>
          <t>No</t>
        </is>
      </c>
      <c r="B453" t="inlineStr">
        <is>
          <t>QV 150 C14368 1992</t>
        </is>
      </c>
      <c r="C453" t="inlineStr">
        <is>
          <t>0                      QV 0150000C  14368       1992</t>
        </is>
      </c>
      <c r="D453" t="inlineStr">
        <is>
          <t>Calcium antagonists in clinical medicine / Murray Epstein, [editor].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Philadelphia : Hanley &amp; Belfus ; St. Louis : Mosby-Year Book, c1992.</t>
        </is>
      </c>
      <c r="M453" t="inlineStr">
        <is>
          <t>1992</t>
        </is>
      </c>
      <c r="O453" t="inlineStr">
        <is>
          <t>eng</t>
        </is>
      </c>
      <c r="P453" t="inlineStr">
        <is>
          <t>pau</t>
        </is>
      </c>
      <c r="R453" t="inlineStr">
        <is>
          <t xml:space="preserve">QV </t>
        </is>
      </c>
      <c r="S453" t="n">
        <v>14</v>
      </c>
      <c r="T453" t="n">
        <v>14</v>
      </c>
      <c r="U453" t="inlineStr">
        <is>
          <t>1996-11-19</t>
        </is>
      </c>
      <c r="V453" t="inlineStr">
        <is>
          <t>1996-11-19</t>
        </is>
      </c>
      <c r="W453" t="inlineStr">
        <is>
          <t>1994-03-22</t>
        </is>
      </c>
      <c r="X453" t="inlineStr">
        <is>
          <t>1994-03-22</t>
        </is>
      </c>
      <c r="Y453" t="n">
        <v>97</v>
      </c>
      <c r="Z453" t="n">
        <v>67</v>
      </c>
      <c r="AA453" t="n">
        <v>111</v>
      </c>
      <c r="AB453" t="n">
        <v>1</v>
      </c>
      <c r="AC453" t="n">
        <v>1</v>
      </c>
      <c r="AD453" t="n">
        <v>1</v>
      </c>
      <c r="AE453" t="n">
        <v>1</v>
      </c>
      <c r="AF453" t="n">
        <v>0</v>
      </c>
      <c r="AG453" t="n">
        <v>0</v>
      </c>
      <c r="AH453" t="n">
        <v>1</v>
      </c>
      <c r="AI453" t="n">
        <v>1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HYPERLINK("http://catalog.hathitrust.org/Record/002599195","HathiTrust Record")</f>
        <v/>
      </c>
      <c r="AS453">
        <f>HYPERLINK("https://creighton-primo.hosted.exlibrisgroup.com/primo-explore/search?tab=default_tab&amp;search_scope=EVERYTHING&amp;vid=01CRU&amp;lang=en_US&amp;offset=0&amp;query=any,contains,991000668459702656","Catalog Record")</f>
        <v/>
      </c>
      <c r="AT453">
        <f>HYPERLINK("http://www.worldcat.org/oclc/28510750","WorldCat Record")</f>
        <v/>
      </c>
    </row>
    <row r="454">
      <c r="A454" t="inlineStr">
        <is>
          <t>No</t>
        </is>
      </c>
      <c r="B454" t="inlineStr">
        <is>
          <t>QV 150 C2637 1985</t>
        </is>
      </c>
      <c r="C454" t="inlineStr">
        <is>
          <t>0                      QV 0150000C  2637        1985</t>
        </is>
      </c>
      <c r="D454" t="inlineStr">
        <is>
          <t>Cardiac glycosides, 1785-1985 : biochemistry, pharmacology, clinical relevance / E. Erdmann, K. Greef, J.C. Skou, eds. ; with contributions by C. Achenbach ... [et al.]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Darmstadt, Germ. : Steinkoppf ; New York : Springer, 1986.</t>
        </is>
      </c>
      <c r="M454" t="inlineStr">
        <is>
          <t>1986</t>
        </is>
      </c>
      <c r="O454" t="inlineStr">
        <is>
          <t>eng</t>
        </is>
      </c>
      <c r="P454" t="inlineStr">
        <is>
          <t xml:space="preserve">gw </t>
        </is>
      </c>
      <c r="Q454" t="inlineStr">
        <is>
          <t>Boehringer Mannheim International Symposium ; 1985</t>
        </is>
      </c>
      <c r="R454" t="inlineStr">
        <is>
          <t xml:space="preserve">QV </t>
        </is>
      </c>
      <c r="S454" t="n">
        <v>2</v>
      </c>
      <c r="T454" t="n">
        <v>2</v>
      </c>
      <c r="U454" t="inlineStr">
        <is>
          <t>1999-04-12</t>
        </is>
      </c>
      <c r="V454" t="inlineStr">
        <is>
          <t>1999-04-12</t>
        </is>
      </c>
      <c r="W454" t="inlineStr">
        <is>
          <t>1988-02-08</t>
        </is>
      </c>
      <c r="X454" t="inlineStr">
        <is>
          <t>1988-02-08</t>
        </is>
      </c>
      <c r="Y454" t="n">
        <v>86</v>
      </c>
      <c r="Z454" t="n">
        <v>59</v>
      </c>
      <c r="AA454" t="n">
        <v>80</v>
      </c>
      <c r="AB454" t="n">
        <v>1</v>
      </c>
      <c r="AC454" t="n">
        <v>1</v>
      </c>
      <c r="AD454" t="n">
        <v>2</v>
      </c>
      <c r="AE454" t="n">
        <v>2</v>
      </c>
      <c r="AF454" t="n">
        <v>0</v>
      </c>
      <c r="AG454" t="n">
        <v>0</v>
      </c>
      <c r="AH454" t="n">
        <v>1</v>
      </c>
      <c r="AI454" t="n">
        <v>1</v>
      </c>
      <c r="AJ454" t="n">
        <v>1</v>
      </c>
      <c r="AK454" t="n">
        <v>1</v>
      </c>
      <c r="AL454" t="n">
        <v>0</v>
      </c>
      <c r="AM454" t="n">
        <v>0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HYPERLINK("http://catalog.hathitrust.org/Record/000834915","HathiTrust Record")</f>
        <v/>
      </c>
      <c r="AS454">
        <f>HYPERLINK("https://creighton-primo.hosted.exlibrisgroup.com/primo-explore/search?tab=default_tab&amp;search_scope=EVERYTHING&amp;vid=01CRU&amp;lang=en_US&amp;offset=0&amp;query=any,contains,991000959619702656","Catalog Record")</f>
        <v/>
      </c>
      <c r="AT454">
        <f>HYPERLINK("http://www.worldcat.org/oclc/18780765","WorldCat Record")</f>
        <v/>
      </c>
    </row>
    <row r="455">
      <c r="A455" t="inlineStr">
        <is>
          <t>No</t>
        </is>
      </c>
      <c r="B455" t="inlineStr">
        <is>
          <t>QV 150 C2655 1986</t>
        </is>
      </c>
      <c r="C455" t="inlineStr">
        <is>
          <t>0                      QV 0150000C  2655        1986</t>
        </is>
      </c>
      <c r="D455" t="inlineStr">
        <is>
          <t>Cardiotonic drugs : a clinical survey / edited by Carl V. Leier.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New York : Dekker, c1986.</t>
        </is>
      </c>
      <c r="M455" t="inlineStr">
        <is>
          <t>1986</t>
        </is>
      </c>
      <c r="O455" t="inlineStr">
        <is>
          <t>eng</t>
        </is>
      </c>
      <c r="P455" t="inlineStr">
        <is>
          <t>xxu</t>
        </is>
      </c>
      <c r="Q455" t="inlineStr">
        <is>
          <t>Basic and clinical cardiology ; v. 7</t>
        </is>
      </c>
      <c r="R455" t="inlineStr">
        <is>
          <t xml:space="preserve">QV </t>
        </is>
      </c>
      <c r="S455" t="n">
        <v>7</v>
      </c>
      <c r="T455" t="n">
        <v>7</v>
      </c>
      <c r="U455" t="inlineStr">
        <is>
          <t>1998-08-11</t>
        </is>
      </c>
      <c r="V455" t="inlineStr">
        <is>
          <t>1998-08-11</t>
        </is>
      </c>
      <c r="W455" t="inlineStr">
        <is>
          <t>1989-06-15</t>
        </is>
      </c>
      <c r="X455" t="inlineStr">
        <is>
          <t>1989-06-15</t>
        </is>
      </c>
      <c r="Y455" t="n">
        <v>85</v>
      </c>
      <c r="Z455" t="n">
        <v>68</v>
      </c>
      <c r="AA455" t="n">
        <v>70</v>
      </c>
      <c r="AB455" t="n">
        <v>1</v>
      </c>
      <c r="AC455" t="n">
        <v>1</v>
      </c>
      <c r="AD455" t="n">
        <v>2</v>
      </c>
      <c r="AE455" t="n">
        <v>2</v>
      </c>
      <c r="AF455" t="n">
        <v>1</v>
      </c>
      <c r="AG455" t="n">
        <v>1</v>
      </c>
      <c r="AH455" t="n">
        <v>0</v>
      </c>
      <c r="AI455" t="n">
        <v>0</v>
      </c>
      <c r="AJ455" t="n">
        <v>1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HYPERLINK("http://catalog.hathitrust.org/Record/000397165","HathiTrust Record")</f>
        <v/>
      </c>
      <c r="AS455">
        <f>HYPERLINK("https://creighton-primo.hosted.exlibrisgroup.com/primo-explore/search?tab=default_tab&amp;search_scope=EVERYTHING&amp;vid=01CRU&amp;lang=en_US&amp;offset=0&amp;query=any,contains,991001250249702656","Catalog Record")</f>
        <v/>
      </c>
      <c r="AT455">
        <f>HYPERLINK("http://www.worldcat.org/oclc/13525370","WorldCat Record")</f>
        <v/>
      </c>
    </row>
    <row r="456">
      <c r="A456" t="inlineStr">
        <is>
          <t>No</t>
        </is>
      </c>
      <c r="B456" t="inlineStr">
        <is>
          <t>QV 150 C267 1987</t>
        </is>
      </c>
      <c r="C456" t="inlineStr">
        <is>
          <t>0                      QV 0150000C  267         1987</t>
        </is>
      </c>
      <c r="D456" t="inlineStr">
        <is>
          <t>Cardiovascular drug therapy / edited by Stephen N. Hunyor.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Sydney ; Baltimore, Md. : Williams &amp; Wilkins and Associates PTY Ltd. c1987.</t>
        </is>
      </c>
      <c r="M456" t="inlineStr">
        <is>
          <t>1987</t>
        </is>
      </c>
      <c r="O456" t="inlineStr">
        <is>
          <t>eng</t>
        </is>
      </c>
      <c r="P456" t="inlineStr">
        <is>
          <t xml:space="preserve">at </t>
        </is>
      </c>
      <c r="R456" t="inlineStr">
        <is>
          <t xml:space="preserve">QV </t>
        </is>
      </c>
      <c r="S456" t="n">
        <v>9</v>
      </c>
      <c r="T456" t="n">
        <v>9</v>
      </c>
      <c r="U456" t="inlineStr">
        <is>
          <t>1998-10-20</t>
        </is>
      </c>
      <c r="V456" t="inlineStr">
        <is>
          <t>1998-10-20</t>
        </is>
      </c>
      <c r="W456" t="inlineStr">
        <is>
          <t>1988-02-20</t>
        </is>
      </c>
      <c r="X456" t="inlineStr">
        <is>
          <t>1988-02-20</t>
        </is>
      </c>
      <c r="Y456" t="n">
        <v>82</v>
      </c>
      <c r="Z456" t="n">
        <v>53</v>
      </c>
      <c r="AA456" t="n">
        <v>55</v>
      </c>
      <c r="AB456" t="n">
        <v>1</v>
      </c>
      <c r="AC456" t="n">
        <v>1</v>
      </c>
      <c r="AD456" t="n">
        <v>2</v>
      </c>
      <c r="AE456" t="n">
        <v>2</v>
      </c>
      <c r="AF456" t="n">
        <v>1</v>
      </c>
      <c r="AG456" t="n">
        <v>1</v>
      </c>
      <c r="AH456" t="n">
        <v>1</v>
      </c>
      <c r="AI456" t="n">
        <v>1</v>
      </c>
      <c r="AJ456" t="n">
        <v>1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HYPERLINK("http://catalog.hathitrust.org/Record/000857902","HathiTrust Record")</f>
        <v/>
      </c>
      <c r="AS456">
        <f>HYPERLINK("https://creighton-primo.hosted.exlibrisgroup.com/primo-explore/search?tab=default_tab&amp;search_scope=EVERYTHING&amp;vid=01CRU&amp;lang=en_US&amp;offset=0&amp;query=any,contains,991001171289702656","Catalog Record")</f>
        <v/>
      </c>
      <c r="AT456">
        <f>HYPERLINK("http://www.worldcat.org/oclc/18780778","WorldCat Record")</f>
        <v/>
      </c>
    </row>
    <row r="457">
      <c r="A457" t="inlineStr">
        <is>
          <t>No</t>
        </is>
      </c>
      <c r="B457" t="inlineStr">
        <is>
          <t>QV 150 C275 1990</t>
        </is>
      </c>
      <c r="C457" t="inlineStr">
        <is>
          <t>0                      QV 0150000C  275         1990</t>
        </is>
      </c>
      <c r="D457" t="inlineStr">
        <is>
          <t>Cardiovascular pharmacology / editor, Michael J. Antonaccio.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New York : Raven Press, c1990.</t>
        </is>
      </c>
      <c r="M457" t="inlineStr">
        <is>
          <t>1990</t>
        </is>
      </c>
      <c r="N457" t="inlineStr">
        <is>
          <t>3rd ed.</t>
        </is>
      </c>
      <c r="O457" t="inlineStr">
        <is>
          <t>eng</t>
        </is>
      </c>
      <c r="P457" t="inlineStr">
        <is>
          <t>xxu</t>
        </is>
      </c>
      <c r="R457" t="inlineStr">
        <is>
          <t xml:space="preserve">QV </t>
        </is>
      </c>
      <c r="S457" t="n">
        <v>18</v>
      </c>
      <c r="T457" t="n">
        <v>18</v>
      </c>
      <c r="U457" t="inlineStr">
        <is>
          <t>2007-12-04</t>
        </is>
      </c>
      <c r="V457" t="inlineStr">
        <is>
          <t>2007-12-04</t>
        </is>
      </c>
      <c r="W457" t="inlineStr">
        <is>
          <t>1991-02-19</t>
        </is>
      </c>
      <c r="X457" t="inlineStr">
        <is>
          <t>1991-02-19</t>
        </is>
      </c>
      <c r="Y457" t="n">
        <v>162</v>
      </c>
      <c r="Z457" t="n">
        <v>108</v>
      </c>
      <c r="AA457" t="n">
        <v>234</v>
      </c>
      <c r="AB457" t="n">
        <v>1</v>
      </c>
      <c r="AC457" t="n">
        <v>2</v>
      </c>
      <c r="AD457" t="n">
        <v>2</v>
      </c>
      <c r="AE457" t="n">
        <v>8</v>
      </c>
      <c r="AF457" t="n">
        <v>2</v>
      </c>
      <c r="AG457" t="n">
        <v>4</v>
      </c>
      <c r="AH457" t="n">
        <v>0</v>
      </c>
      <c r="AI457" t="n">
        <v>3</v>
      </c>
      <c r="AJ457" t="n">
        <v>0</v>
      </c>
      <c r="AK457" t="n">
        <v>1</v>
      </c>
      <c r="AL457" t="n">
        <v>0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HYPERLINK("http://catalog.hathitrust.org/Record/002208724","HathiTrust Record")</f>
        <v/>
      </c>
      <c r="AS457">
        <f>HYPERLINK("https://creighton-primo.hosted.exlibrisgroup.com/primo-explore/search?tab=default_tab&amp;search_scope=EVERYTHING&amp;vid=01CRU&amp;lang=en_US&amp;offset=0&amp;query=any,contains,991000821819702656","Catalog Record")</f>
        <v/>
      </c>
      <c r="AT457">
        <f>HYPERLINK("http://www.worldcat.org/oclc/21517357","WorldCat Record")</f>
        <v/>
      </c>
    </row>
    <row r="458">
      <c r="A458" t="inlineStr">
        <is>
          <t>No</t>
        </is>
      </c>
      <c r="B458" t="inlineStr">
        <is>
          <t>QV 150 C955b 1994</t>
        </is>
      </c>
      <c r="C458" t="inlineStr">
        <is>
          <t>0                      QV 0150000C  955b        1994</t>
        </is>
      </c>
      <c r="D458" t="inlineStr">
        <is>
          <t>Beta-blockers in clinical practice / J.M. Cruickshank, B.N.C. Prichard.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Cruickshank, J. M.</t>
        </is>
      </c>
      <c r="L458" t="inlineStr">
        <is>
          <t>Edinburgh : Churchill Livingstone, c1994.</t>
        </is>
      </c>
      <c r="M458" t="inlineStr">
        <is>
          <t>1994</t>
        </is>
      </c>
      <c r="N458" t="inlineStr">
        <is>
          <t>2nd ed.</t>
        </is>
      </c>
      <c r="O458" t="inlineStr">
        <is>
          <t>eng</t>
        </is>
      </c>
      <c r="P458" t="inlineStr">
        <is>
          <t>stk</t>
        </is>
      </c>
      <c r="R458" t="inlineStr">
        <is>
          <t xml:space="preserve">QV </t>
        </is>
      </c>
      <c r="S458" t="n">
        <v>13</v>
      </c>
      <c r="T458" t="n">
        <v>13</v>
      </c>
      <c r="U458" t="inlineStr">
        <is>
          <t>2007-12-04</t>
        </is>
      </c>
      <c r="V458" t="inlineStr">
        <is>
          <t>2007-12-04</t>
        </is>
      </c>
      <c r="W458" t="inlineStr">
        <is>
          <t>1995-02-17</t>
        </is>
      </c>
      <c r="X458" t="inlineStr">
        <is>
          <t>1995-02-17</t>
        </is>
      </c>
      <c r="Y458" t="n">
        <v>54</v>
      </c>
      <c r="Z458" t="n">
        <v>33</v>
      </c>
      <c r="AA458" t="n">
        <v>69</v>
      </c>
      <c r="AB458" t="n">
        <v>1</v>
      </c>
      <c r="AC458" t="n">
        <v>1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HYPERLINK("http://catalog.hathitrust.org/Record/002902453","HathiTrust Record")</f>
        <v/>
      </c>
      <c r="AS458">
        <f>HYPERLINK("https://creighton-primo.hosted.exlibrisgroup.com/primo-explore/search?tab=default_tab&amp;search_scope=EVERYTHING&amp;vid=01CRU&amp;lang=en_US&amp;offset=0&amp;query=any,contains,991001396469702656","Catalog Record")</f>
        <v/>
      </c>
      <c r="AT458">
        <f>HYPERLINK("http://www.worldcat.org/oclc/30915924","WorldCat Record")</f>
        <v/>
      </c>
    </row>
    <row r="459">
      <c r="A459" t="inlineStr">
        <is>
          <t>No</t>
        </is>
      </c>
      <c r="B459" t="inlineStr">
        <is>
          <t>QV 150 C9763 1989</t>
        </is>
      </c>
      <c r="C459" t="inlineStr">
        <is>
          <t>0                      QV 0150000C  9763        1989</t>
        </is>
      </c>
      <c r="D459" t="inlineStr">
        <is>
          <t>Current topics in antiarrhythmic agents : mode of action and clinical usage : international satellite symposium of the 53rd Annual Meeting of the Japanese Circulation Society, Nagoya, Japan, March 27-28, 1989 / editors, Junji Toyama, Luc M. Hondeghem.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Amsterdam ; Princeton : Excerpta Medica, c1989.</t>
        </is>
      </c>
      <c r="M459" t="inlineStr">
        <is>
          <t>1989</t>
        </is>
      </c>
      <c r="O459" t="inlineStr">
        <is>
          <t>eng</t>
        </is>
      </c>
      <c r="P459" t="inlineStr">
        <is>
          <t xml:space="preserve">ne </t>
        </is>
      </c>
      <c r="Q459" t="inlineStr">
        <is>
          <t>Current clinical practice series ; no. 56</t>
        </is>
      </c>
      <c r="R459" t="inlineStr">
        <is>
          <t xml:space="preserve">QV </t>
        </is>
      </c>
      <c r="S459" t="n">
        <v>6</v>
      </c>
      <c r="T459" t="n">
        <v>6</v>
      </c>
      <c r="U459" t="inlineStr">
        <is>
          <t>1992-09-22</t>
        </is>
      </c>
      <c r="V459" t="inlineStr">
        <is>
          <t>1992-09-22</t>
        </is>
      </c>
      <c r="W459" t="inlineStr">
        <is>
          <t>1991-02-25</t>
        </is>
      </c>
      <c r="X459" t="inlineStr">
        <is>
          <t>1991-02-25</t>
        </is>
      </c>
      <c r="Y459" t="n">
        <v>17</v>
      </c>
      <c r="Z459" t="n">
        <v>10</v>
      </c>
      <c r="AA459" t="n">
        <v>24</v>
      </c>
      <c r="AB459" t="n">
        <v>1</v>
      </c>
      <c r="AC459" t="n">
        <v>1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HYPERLINK("https://creighton-primo.hosted.exlibrisgroup.com/primo-explore/search?tab=default_tab&amp;search_scope=EVERYTHING&amp;vid=01CRU&amp;lang=en_US&amp;offset=0&amp;query=any,contains,991000823169702656","Catalog Record")</f>
        <v/>
      </c>
      <c r="AT459">
        <f>HYPERLINK("http://www.worldcat.org/oclc/24378730","WorldCat Record")</f>
        <v/>
      </c>
    </row>
    <row r="460">
      <c r="A460" t="inlineStr">
        <is>
          <t>No</t>
        </is>
      </c>
      <c r="B460" t="inlineStr">
        <is>
          <t>QV 150 D7938 1991</t>
        </is>
      </c>
      <c r="C460" t="inlineStr">
        <is>
          <t>0                      QV 0150000D  7938        1991</t>
        </is>
      </c>
      <c r="D460" t="inlineStr">
        <is>
          <t>Drugs for the heart / edited by Lionel H. Opie with the collaboration of Kanu Chatterjee ... [et al.] ; foreword by Eugene Braunwald.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Yes</t>
        </is>
      </c>
      <c r="J460" t="inlineStr">
        <is>
          <t>1</t>
        </is>
      </c>
      <c r="L460" t="inlineStr">
        <is>
          <t>Philadelphia : W.B. Saunders Co., c1991.</t>
        </is>
      </c>
      <c r="M460" t="inlineStr">
        <is>
          <t>1991</t>
        </is>
      </c>
      <c r="N460" t="inlineStr">
        <is>
          <t>3rd ed.</t>
        </is>
      </c>
      <c r="O460" t="inlineStr">
        <is>
          <t>eng</t>
        </is>
      </c>
      <c r="P460" t="inlineStr">
        <is>
          <t>pau</t>
        </is>
      </c>
      <c r="R460" t="inlineStr">
        <is>
          <t xml:space="preserve">QV </t>
        </is>
      </c>
      <c r="S460" t="n">
        <v>18</v>
      </c>
      <c r="T460" t="n">
        <v>18</v>
      </c>
      <c r="U460" t="inlineStr">
        <is>
          <t>2002-07-29</t>
        </is>
      </c>
      <c r="V460" t="inlineStr">
        <is>
          <t>2002-07-29</t>
        </is>
      </c>
      <c r="W460" t="inlineStr">
        <is>
          <t>1991-02-19</t>
        </is>
      </c>
      <c r="X460" t="inlineStr">
        <is>
          <t>1991-02-19</t>
        </is>
      </c>
      <c r="Y460" t="n">
        <v>153</v>
      </c>
      <c r="Z460" t="n">
        <v>88</v>
      </c>
      <c r="AA460" t="n">
        <v>508</v>
      </c>
      <c r="AB460" t="n">
        <v>1</v>
      </c>
      <c r="AC460" t="n">
        <v>1</v>
      </c>
      <c r="AD460" t="n">
        <v>0</v>
      </c>
      <c r="AE460" t="n">
        <v>13</v>
      </c>
      <c r="AF460" t="n">
        <v>0</v>
      </c>
      <c r="AG460" t="n">
        <v>5</v>
      </c>
      <c r="AH460" t="n">
        <v>0</v>
      </c>
      <c r="AI460" t="n">
        <v>5</v>
      </c>
      <c r="AJ460" t="n">
        <v>0</v>
      </c>
      <c r="AK460" t="n">
        <v>6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HYPERLINK("http://catalog.hathitrust.org/Record/002500874","HathiTrust Record")</f>
        <v/>
      </c>
      <c r="AS460">
        <f>HYPERLINK("https://creighton-primo.hosted.exlibrisgroup.com/primo-explore/search?tab=default_tab&amp;search_scope=EVERYTHING&amp;vid=01CRU&amp;lang=en_US&amp;offset=0&amp;query=any,contains,991000821199702656","Catalog Record")</f>
        <v/>
      </c>
      <c r="AT460">
        <f>HYPERLINK("http://www.worldcat.org/oclc/22307253","WorldCat Record")</f>
        <v/>
      </c>
    </row>
    <row r="461">
      <c r="A461" t="inlineStr">
        <is>
          <t>No</t>
        </is>
      </c>
      <c r="B461" t="inlineStr">
        <is>
          <t>QV150 O61d 2001</t>
        </is>
      </c>
      <c r="C461" t="inlineStr">
        <is>
          <t>0                      QV 0150000O  61d         2001</t>
        </is>
      </c>
      <c r="D461" t="inlineStr">
        <is>
          <t>Drugs for the heart / Lionel H. Opie, co-editor Bernard J. Gersh ; with the collaboration of A. John Camm ... [et. al ] ; foreword by Eugene Braunwald.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Yes</t>
        </is>
      </c>
      <c r="J461" t="inlineStr">
        <is>
          <t>1</t>
        </is>
      </c>
      <c r="L461" t="inlineStr">
        <is>
          <t>Philadelphia : Saunders, c2001.</t>
        </is>
      </c>
      <c r="M461" t="inlineStr">
        <is>
          <t>2001</t>
        </is>
      </c>
      <c r="N461" t="inlineStr">
        <is>
          <t>5th ed.</t>
        </is>
      </c>
      <c r="O461" t="inlineStr">
        <is>
          <t>eng</t>
        </is>
      </c>
      <c r="P461" t="inlineStr">
        <is>
          <t>pau</t>
        </is>
      </c>
      <c r="R461" t="inlineStr">
        <is>
          <t xml:space="preserve">QV </t>
        </is>
      </c>
      <c r="S461" t="n">
        <v>3</v>
      </c>
      <c r="T461" t="n">
        <v>3</v>
      </c>
      <c r="U461" t="inlineStr">
        <is>
          <t>2003-09-22</t>
        </is>
      </c>
      <c r="V461" t="inlineStr">
        <is>
          <t>2003-09-22</t>
        </is>
      </c>
      <c r="W461" t="inlineStr">
        <is>
          <t>2002-12-19</t>
        </is>
      </c>
      <c r="X461" t="inlineStr">
        <is>
          <t>2002-12-19</t>
        </is>
      </c>
      <c r="Y461" t="n">
        <v>133</v>
      </c>
      <c r="Z461" t="n">
        <v>81</v>
      </c>
      <c r="AA461" t="n">
        <v>508</v>
      </c>
      <c r="AB461" t="n">
        <v>1</v>
      </c>
      <c r="AC461" t="n">
        <v>1</v>
      </c>
      <c r="AD461" t="n">
        <v>1</v>
      </c>
      <c r="AE461" t="n">
        <v>13</v>
      </c>
      <c r="AF461" t="n">
        <v>1</v>
      </c>
      <c r="AG461" t="n">
        <v>5</v>
      </c>
      <c r="AH461" t="n">
        <v>0</v>
      </c>
      <c r="AI461" t="n">
        <v>5</v>
      </c>
      <c r="AJ461" t="n">
        <v>0</v>
      </c>
      <c r="AK461" t="n">
        <v>6</v>
      </c>
      <c r="AL461" t="n">
        <v>0</v>
      </c>
      <c r="AM461" t="n">
        <v>0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HYPERLINK("http://catalog.hathitrust.org/Record/003567630","HathiTrust Record")</f>
        <v/>
      </c>
      <c r="AS461">
        <f>HYPERLINK("https://creighton-primo.hosted.exlibrisgroup.com/primo-explore/search?tab=default_tab&amp;search_scope=EVERYTHING&amp;vid=01CRU&amp;lang=en_US&amp;offset=0&amp;query=any,contains,991000333809702656","Catalog Record")</f>
        <v/>
      </c>
      <c r="AT461">
        <f>HYPERLINK("http://www.worldcat.org/oclc/44626891","WorldCat Record")</f>
        <v/>
      </c>
    </row>
    <row r="462">
      <c r="A462" t="inlineStr">
        <is>
          <t>No</t>
        </is>
      </c>
      <c r="B462" t="inlineStr">
        <is>
          <t>QV 150 P5365 1984</t>
        </is>
      </c>
      <c r="C462" t="inlineStr">
        <is>
          <t>0                      QV 0150000P  5365        1984</t>
        </is>
      </c>
      <c r="D462" t="inlineStr">
        <is>
          <t>Pharmacology of antihypertensive drugs / editor, P.A. Van Zwieten.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Amsterdam ; New York : Elsevier, c1984.</t>
        </is>
      </c>
      <c r="M462" t="inlineStr">
        <is>
          <t>1984</t>
        </is>
      </c>
      <c r="O462" t="inlineStr">
        <is>
          <t>eng</t>
        </is>
      </c>
      <c r="P462" t="inlineStr">
        <is>
          <t xml:space="preserve">ne </t>
        </is>
      </c>
      <c r="Q462" t="inlineStr">
        <is>
          <t>Handbook of hypertension ; v. 3</t>
        </is>
      </c>
      <c r="R462" t="inlineStr">
        <is>
          <t xml:space="preserve">QV </t>
        </is>
      </c>
      <c r="S462" t="n">
        <v>9</v>
      </c>
      <c r="T462" t="n">
        <v>9</v>
      </c>
      <c r="U462" t="inlineStr">
        <is>
          <t>2007-12-04</t>
        </is>
      </c>
      <c r="V462" t="inlineStr">
        <is>
          <t>2007-12-04</t>
        </is>
      </c>
      <c r="W462" t="inlineStr">
        <is>
          <t>1988-02-08</t>
        </is>
      </c>
      <c r="X462" t="inlineStr">
        <is>
          <t>1988-02-08</t>
        </is>
      </c>
      <c r="Y462" t="n">
        <v>123</v>
      </c>
      <c r="Z462" t="n">
        <v>78</v>
      </c>
      <c r="AA462" t="n">
        <v>108</v>
      </c>
      <c r="AB462" t="n">
        <v>1</v>
      </c>
      <c r="AC462" t="n">
        <v>1</v>
      </c>
      <c r="AD462" t="n">
        <v>1</v>
      </c>
      <c r="AE462" t="n">
        <v>3</v>
      </c>
      <c r="AF462" t="n">
        <v>0</v>
      </c>
      <c r="AG462" t="n">
        <v>1</v>
      </c>
      <c r="AH462" t="n">
        <v>1</v>
      </c>
      <c r="AI462" t="n">
        <v>2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HYPERLINK("http://catalog.hathitrust.org/Record/000946349","HathiTrust Record")</f>
        <v/>
      </c>
      <c r="AS462">
        <f>HYPERLINK("https://creighton-primo.hosted.exlibrisgroup.com/primo-explore/search?tab=default_tab&amp;search_scope=EVERYTHING&amp;vid=01CRU&amp;lang=en_US&amp;offset=0&amp;query=any,contains,991000959529702656","Catalog Record")</f>
        <v/>
      </c>
      <c r="AT462">
        <f>HYPERLINK("http://www.worldcat.org/oclc/10574784","WorldCat Record")</f>
        <v/>
      </c>
    </row>
    <row r="463">
      <c r="A463" t="inlineStr">
        <is>
          <t>No</t>
        </is>
      </c>
      <c r="B463" t="inlineStr">
        <is>
          <t>QV 150 P957 1991</t>
        </is>
      </c>
      <c r="C463" t="inlineStr">
        <is>
          <t>0                      QV 0150000P  957         1991</t>
        </is>
      </c>
      <c r="D463" t="inlineStr">
        <is>
          <t>Principles of cardiac toxicology / [edited by] Steven I. Baskin.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Boca Raton : CRC Press, c1991.</t>
        </is>
      </c>
      <c r="M463" t="inlineStr">
        <is>
          <t>1991</t>
        </is>
      </c>
      <c r="O463" t="inlineStr">
        <is>
          <t>eng</t>
        </is>
      </c>
      <c r="P463" t="inlineStr">
        <is>
          <t>flu</t>
        </is>
      </c>
      <c r="R463" t="inlineStr">
        <is>
          <t xml:space="preserve">QV </t>
        </is>
      </c>
      <c r="S463" t="n">
        <v>2</v>
      </c>
      <c r="T463" t="n">
        <v>2</v>
      </c>
      <c r="U463" t="inlineStr">
        <is>
          <t>1991-11-22</t>
        </is>
      </c>
      <c r="V463" t="inlineStr">
        <is>
          <t>1991-11-22</t>
        </is>
      </c>
      <c r="W463" t="inlineStr">
        <is>
          <t>1991-11-22</t>
        </is>
      </c>
      <c r="X463" t="inlineStr">
        <is>
          <t>1991-11-22</t>
        </is>
      </c>
      <c r="Y463" t="n">
        <v>86</v>
      </c>
      <c r="Z463" t="n">
        <v>68</v>
      </c>
      <c r="AA463" t="n">
        <v>91</v>
      </c>
      <c r="AB463" t="n">
        <v>1</v>
      </c>
      <c r="AC463" t="n">
        <v>1</v>
      </c>
      <c r="AD463" t="n">
        <v>3</v>
      </c>
      <c r="AE463" t="n">
        <v>3</v>
      </c>
      <c r="AF463" t="n">
        <v>0</v>
      </c>
      <c r="AG463" t="n">
        <v>0</v>
      </c>
      <c r="AH463" t="n">
        <v>1</v>
      </c>
      <c r="AI463" t="n">
        <v>1</v>
      </c>
      <c r="AJ463" t="n">
        <v>2</v>
      </c>
      <c r="AK463" t="n">
        <v>2</v>
      </c>
      <c r="AL463" t="n">
        <v>0</v>
      </c>
      <c r="AM463" t="n">
        <v>0</v>
      </c>
      <c r="AN463" t="n">
        <v>0</v>
      </c>
      <c r="AO463" t="n">
        <v>0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HYPERLINK("https://creighton-primo.hosted.exlibrisgroup.com/primo-explore/search?tab=default_tab&amp;search_scope=EVERYTHING&amp;vid=01CRU&amp;lang=en_US&amp;offset=0&amp;query=any,contains,991001022569702656","Catalog Record")</f>
        <v/>
      </c>
      <c r="AT463">
        <f>HYPERLINK("http://www.worldcat.org/oclc/23287756","WorldCat Record")</f>
        <v/>
      </c>
    </row>
    <row r="464">
      <c r="A464" t="inlineStr">
        <is>
          <t>No</t>
        </is>
      </c>
      <c r="B464" t="inlineStr">
        <is>
          <t>QV 150 R19 1957</t>
        </is>
      </c>
      <c r="C464" t="inlineStr">
        <is>
          <t>0                      QV 0150000R  19          1957</t>
        </is>
      </c>
      <c r="D464" t="inlineStr">
        <is>
          <t>Rauwolfia : botany, pharmacognosy, chemistry &amp; pharmacology / Robert E. Woodson .... [et al.] ; with a foreword by Arnold J. Lehman.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Boston : Little, Brown, 1957.</t>
        </is>
      </c>
      <c r="M464" t="inlineStr">
        <is>
          <t>1957</t>
        </is>
      </c>
      <c r="N464" t="inlineStr">
        <is>
          <t>[1st ed.]</t>
        </is>
      </c>
      <c r="O464" t="inlineStr">
        <is>
          <t>eng</t>
        </is>
      </c>
      <c r="P464" t="inlineStr">
        <is>
          <t>mau</t>
        </is>
      </c>
      <c r="R464" t="inlineStr">
        <is>
          <t xml:space="preserve">QV </t>
        </is>
      </c>
      <c r="S464" t="n">
        <v>1</v>
      </c>
      <c r="T464" t="n">
        <v>1</v>
      </c>
      <c r="U464" t="inlineStr">
        <is>
          <t>1988-09-03</t>
        </is>
      </c>
      <c r="V464" t="inlineStr">
        <is>
          <t>1988-09-03</t>
        </is>
      </c>
      <c r="W464" t="inlineStr">
        <is>
          <t>1988-03-21</t>
        </is>
      </c>
      <c r="X464" t="inlineStr">
        <is>
          <t>1988-03-21</t>
        </is>
      </c>
      <c r="Y464" t="n">
        <v>388</v>
      </c>
      <c r="Z464" t="n">
        <v>333</v>
      </c>
      <c r="AA464" t="n">
        <v>340</v>
      </c>
      <c r="AB464" t="n">
        <v>5</v>
      </c>
      <c r="AC464" t="n">
        <v>5</v>
      </c>
      <c r="AD464" t="n">
        <v>20</v>
      </c>
      <c r="AE464" t="n">
        <v>20</v>
      </c>
      <c r="AF464" t="n">
        <v>3</v>
      </c>
      <c r="AG464" t="n">
        <v>3</v>
      </c>
      <c r="AH464" t="n">
        <v>2</v>
      </c>
      <c r="AI464" t="n">
        <v>2</v>
      </c>
      <c r="AJ464" t="n">
        <v>14</v>
      </c>
      <c r="AK464" t="n">
        <v>14</v>
      </c>
      <c r="AL464" t="n">
        <v>4</v>
      </c>
      <c r="AM464" t="n">
        <v>4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HYPERLINK("http://catalog.hathitrust.org/Record/001573870","HathiTrust Record")</f>
        <v/>
      </c>
      <c r="AS464">
        <f>HYPERLINK("https://creighton-primo.hosted.exlibrisgroup.com/primo-explore/search?tab=default_tab&amp;search_scope=EVERYTHING&amp;vid=01CRU&amp;lang=en_US&amp;offset=0&amp;query=any,contains,991000959579702656","Catalog Record")</f>
        <v/>
      </c>
      <c r="AT464">
        <f>HYPERLINK("http://www.worldcat.org/oclc/1200431","WorldCat Record")</f>
        <v/>
      </c>
    </row>
    <row r="465">
      <c r="A465" t="inlineStr">
        <is>
          <t>No</t>
        </is>
      </c>
      <c r="B465" t="inlineStr">
        <is>
          <t>QV 150 S358c 1988</t>
        </is>
      </c>
      <c r="C465" t="inlineStr">
        <is>
          <t>0                      QV 0150000S  358c        1988</t>
        </is>
      </c>
      <c r="D465" t="inlineStr">
        <is>
          <t>Cardiovascular drug therapy in the elderly / Adam Schneeweiss, Gotthard Schettler.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Schneeweiss, Adam.</t>
        </is>
      </c>
      <c r="L465" t="inlineStr">
        <is>
          <t>Boston : Nijhoff ; Norwell, MA, USA : Distributors for North America, Kluwer Academic Publishers, c1988.</t>
        </is>
      </c>
      <c r="M465" t="inlineStr">
        <is>
          <t>1988</t>
        </is>
      </c>
      <c r="O465" t="inlineStr">
        <is>
          <t>eng</t>
        </is>
      </c>
      <c r="P465" t="inlineStr">
        <is>
          <t>xxu</t>
        </is>
      </c>
      <c r="Q465" t="inlineStr">
        <is>
          <t>Developments in cardiovascular medicine ; DICM72</t>
        </is>
      </c>
      <c r="R465" t="inlineStr">
        <is>
          <t xml:space="preserve">QV </t>
        </is>
      </c>
      <c r="S465" t="n">
        <v>6</v>
      </c>
      <c r="T465" t="n">
        <v>6</v>
      </c>
      <c r="U465" t="inlineStr">
        <is>
          <t>2007-12-04</t>
        </is>
      </c>
      <c r="V465" t="inlineStr">
        <is>
          <t>2007-12-04</t>
        </is>
      </c>
      <c r="W465" t="inlineStr">
        <is>
          <t>1989-07-07</t>
        </is>
      </c>
      <c r="X465" t="inlineStr">
        <is>
          <t>1989-07-07</t>
        </is>
      </c>
      <c r="Y465" t="n">
        <v>70</v>
      </c>
      <c r="Z465" t="n">
        <v>56</v>
      </c>
      <c r="AA465" t="n">
        <v>80</v>
      </c>
      <c r="AB465" t="n">
        <v>1</v>
      </c>
      <c r="AC465" t="n">
        <v>1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HYPERLINK("http://catalog.hathitrust.org/Record/000905966","HathiTrust Record")</f>
        <v/>
      </c>
      <c r="AS465">
        <f>HYPERLINK("https://creighton-primo.hosted.exlibrisgroup.com/primo-explore/search?tab=default_tab&amp;search_scope=EVERYTHING&amp;vid=01CRU&amp;lang=en_US&amp;offset=0&amp;query=any,contains,991001310659702656","Catalog Record")</f>
        <v/>
      </c>
      <c r="AT465">
        <f>HYPERLINK("http://www.worldcat.org/oclc/15428959","WorldCat Record")</f>
        <v/>
      </c>
    </row>
    <row r="466">
      <c r="A466" t="inlineStr">
        <is>
          <t>No</t>
        </is>
      </c>
      <c r="B466" t="inlineStr">
        <is>
          <t>QV 150 S996p 1991</t>
        </is>
      </c>
      <c r="C466" t="inlineStr">
        <is>
          <t>0                      QV 0150000S  996p        1991</t>
        </is>
      </c>
      <c r="D466" t="inlineStr">
        <is>
          <t>Pharmaceutical chemistry of antihypertensive agents / authors, György Szász, Susanne Budvári-Bárány.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Szász, György.</t>
        </is>
      </c>
      <c r="L466" t="inlineStr">
        <is>
          <t>Boca Raton : CRC Press, c1991.</t>
        </is>
      </c>
      <c r="M466" t="inlineStr">
        <is>
          <t>1991</t>
        </is>
      </c>
      <c r="O466" t="inlineStr">
        <is>
          <t>eng</t>
        </is>
      </c>
      <c r="P466" t="inlineStr">
        <is>
          <t>flu</t>
        </is>
      </c>
      <c r="R466" t="inlineStr">
        <is>
          <t xml:space="preserve">QV </t>
        </is>
      </c>
      <c r="S466" t="n">
        <v>11</v>
      </c>
      <c r="T466" t="n">
        <v>11</v>
      </c>
      <c r="U466" t="inlineStr">
        <is>
          <t>1997-09-21</t>
        </is>
      </c>
      <c r="V466" t="inlineStr">
        <is>
          <t>1997-09-21</t>
        </is>
      </c>
      <c r="W466" t="inlineStr">
        <is>
          <t>1991-02-08</t>
        </is>
      </c>
      <c r="X466" t="inlineStr">
        <is>
          <t>1991-02-08</t>
        </is>
      </c>
      <c r="Y466" t="n">
        <v>55</v>
      </c>
      <c r="Z466" t="n">
        <v>41</v>
      </c>
      <c r="AA466" t="n">
        <v>41</v>
      </c>
      <c r="AB466" t="n">
        <v>1</v>
      </c>
      <c r="AC466" t="n">
        <v>1</v>
      </c>
      <c r="AD466" t="n">
        <v>2</v>
      </c>
      <c r="AE466" t="n">
        <v>2</v>
      </c>
      <c r="AF466" t="n">
        <v>1</v>
      </c>
      <c r="AG466" t="n">
        <v>1</v>
      </c>
      <c r="AH466" t="n">
        <v>1</v>
      </c>
      <c r="AI466" t="n">
        <v>1</v>
      </c>
      <c r="AJ466" t="n">
        <v>0</v>
      </c>
      <c r="AK466" t="n">
        <v>0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HYPERLINK("https://creighton-primo.hosted.exlibrisgroup.com/primo-explore/search?tab=default_tab&amp;search_scope=EVERYTHING&amp;vid=01CRU&amp;lang=en_US&amp;offset=0&amp;query=any,contains,991000818639702656","Catalog Record")</f>
        <v/>
      </c>
      <c r="AT466">
        <f>HYPERLINK("http://www.worldcat.org/oclc/22314236","WorldCat Record")</f>
        <v/>
      </c>
    </row>
    <row r="467">
      <c r="A467" t="inlineStr">
        <is>
          <t>No</t>
        </is>
      </c>
      <c r="B467" t="inlineStr">
        <is>
          <t>QV 153 C266 1981</t>
        </is>
      </c>
      <c r="C467" t="inlineStr">
        <is>
          <t>0                      QV 0153000C  266         1981</t>
        </is>
      </c>
      <c r="D467" t="inlineStr">
        <is>
          <t>Cardiac glycosides / editor, K. Greeff.</t>
        </is>
      </c>
      <c r="F467" t="inlineStr">
        <is>
          <t>Yes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L467" t="inlineStr">
        <is>
          <t>Berlin ; New York : Springer-Verlag, c1981.</t>
        </is>
      </c>
      <c r="M467" t="inlineStr">
        <is>
          <t>1981</t>
        </is>
      </c>
      <c r="O467" t="inlineStr">
        <is>
          <t>eng</t>
        </is>
      </c>
      <c r="P467" t="inlineStr">
        <is>
          <t xml:space="preserve">gw </t>
        </is>
      </c>
      <c r="Q467" t="inlineStr">
        <is>
          <t>Handbook of experimental pharmacology ; v. 56</t>
        </is>
      </c>
      <c r="R467" t="inlineStr">
        <is>
          <t xml:space="preserve">QV </t>
        </is>
      </c>
      <c r="S467" t="n">
        <v>2</v>
      </c>
      <c r="T467" t="n">
        <v>5</v>
      </c>
      <c r="U467" t="inlineStr">
        <is>
          <t>1996-03-28</t>
        </is>
      </c>
      <c r="V467" t="inlineStr">
        <is>
          <t>1996-03-28</t>
        </is>
      </c>
      <c r="W467" t="inlineStr">
        <is>
          <t>1988-02-08</t>
        </is>
      </c>
      <c r="X467" t="inlineStr">
        <is>
          <t>1988-02-08</t>
        </is>
      </c>
      <c r="Y467" t="n">
        <v>149</v>
      </c>
      <c r="Z467" t="n">
        <v>103</v>
      </c>
      <c r="AA467" t="n">
        <v>105</v>
      </c>
      <c r="AB467" t="n">
        <v>1</v>
      </c>
      <c r="AC467" t="n">
        <v>1</v>
      </c>
      <c r="AD467" t="n">
        <v>2</v>
      </c>
      <c r="AE467" t="n">
        <v>2</v>
      </c>
      <c r="AF467" t="n">
        <v>0</v>
      </c>
      <c r="AG467" t="n">
        <v>0</v>
      </c>
      <c r="AH467" t="n">
        <v>2</v>
      </c>
      <c r="AI467" t="n">
        <v>2</v>
      </c>
      <c r="AJ467" t="n">
        <v>0</v>
      </c>
      <c r="AK467" t="n">
        <v>0</v>
      </c>
      <c r="AL467" t="n">
        <v>0</v>
      </c>
      <c r="AM467" t="n">
        <v>0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HYPERLINK("http://catalog.hathitrust.org/Record/000225323","HathiTrust Record")</f>
        <v/>
      </c>
      <c r="AS467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T467">
        <f>HYPERLINK("http://www.worldcat.org/oclc/7957792","WorldCat Record")</f>
        <v/>
      </c>
    </row>
    <row r="468">
      <c r="A468" t="inlineStr">
        <is>
          <t>No</t>
        </is>
      </c>
      <c r="B468" t="inlineStr">
        <is>
          <t>QV153 C266 1981 PT. 2</t>
        </is>
      </c>
      <c r="C468" t="inlineStr">
        <is>
          <t>0                      QV 0153000C  266         1981                                        PT. 2</t>
        </is>
      </c>
      <c r="D468" t="inlineStr">
        <is>
          <t>Cardiac glycosides / editor, K. Greeff.</t>
        </is>
      </c>
      <c r="E468" t="inlineStr">
        <is>
          <t>PT. 2*</t>
        </is>
      </c>
      <c r="F468" t="inlineStr">
        <is>
          <t>Yes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Berlin ; New York : Springer-Verlag, c1981.</t>
        </is>
      </c>
      <c r="M468" t="inlineStr">
        <is>
          <t>1981</t>
        </is>
      </c>
      <c r="O468" t="inlineStr">
        <is>
          <t>eng</t>
        </is>
      </c>
      <c r="P468" t="inlineStr">
        <is>
          <t xml:space="preserve">gw </t>
        </is>
      </c>
      <c r="Q468" t="inlineStr">
        <is>
          <t>Handbook of experimental pharmacology ; v. 56</t>
        </is>
      </c>
      <c r="R468" t="inlineStr">
        <is>
          <t xml:space="preserve">QV </t>
        </is>
      </c>
      <c r="S468" t="n">
        <v>3</v>
      </c>
      <c r="T468" t="n">
        <v>5</v>
      </c>
      <c r="U468" t="inlineStr">
        <is>
          <t>1995-11-02</t>
        </is>
      </c>
      <c r="V468" t="inlineStr">
        <is>
          <t>1996-03-28</t>
        </is>
      </c>
      <c r="W468" t="inlineStr">
        <is>
          <t>1988-02-08</t>
        </is>
      </c>
      <c r="X468" t="inlineStr">
        <is>
          <t>1988-02-08</t>
        </is>
      </c>
      <c r="Y468" t="n">
        <v>149</v>
      </c>
      <c r="Z468" t="n">
        <v>103</v>
      </c>
      <c r="AA468" t="n">
        <v>105</v>
      </c>
      <c r="AB468" t="n">
        <v>1</v>
      </c>
      <c r="AC468" t="n">
        <v>1</v>
      </c>
      <c r="AD468" t="n">
        <v>2</v>
      </c>
      <c r="AE468" t="n">
        <v>2</v>
      </c>
      <c r="AF468" t="n">
        <v>0</v>
      </c>
      <c r="AG468" t="n">
        <v>0</v>
      </c>
      <c r="AH468" t="n">
        <v>2</v>
      </c>
      <c r="AI468" t="n">
        <v>2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HYPERLINK("http://catalog.hathitrust.org/Record/000225323","HathiTrust Record")</f>
        <v/>
      </c>
      <c r="AS468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T468">
        <f>HYPERLINK("http://www.worldcat.org/oclc/7957792","WorldCat Record")</f>
        <v/>
      </c>
    </row>
    <row r="469">
      <c r="A469" t="inlineStr">
        <is>
          <t>No</t>
        </is>
      </c>
      <c r="B469" t="inlineStr">
        <is>
          <t>QV 175 R269r 1991</t>
        </is>
      </c>
      <c r="C469" t="inlineStr">
        <is>
          <t>0                      QV 0175000R  269r        1991</t>
        </is>
      </c>
      <c r="D469" t="inlineStr">
        <is>
          <t>RU 486 : misconceptions, myths and morals / by Janice G. Raymond, Renate Klein, Lynette J. Dumble.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Raymond, Janice G.</t>
        </is>
      </c>
      <c r="L469" t="inlineStr">
        <is>
          <t>Cambridge, Mass., USA : Institute on Women and Technology, c1991.</t>
        </is>
      </c>
      <c r="M469" t="inlineStr">
        <is>
          <t>1991</t>
        </is>
      </c>
      <c r="O469" t="inlineStr">
        <is>
          <t>eng</t>
        </is>
      </c>
      <c r="P469" t="inlineStr">
        <is>
          <t>mau</t>
        </is>
      </c>
      <c r="R469" t="inlineStr">
        <is>
          <t xml:space="preserve">QV </t>
        </is>
      </c>
      <c r="S469" t="n">
        <v>6</v>
      </c>
      <c r="T469" t="n">
        <v>6</v>
      </c>
      <c r="U469" t="inlineStr">
        <is>
          <t>1997-04-28</t>
        </is>
      </c>
      <c r="V469" t="inlineStr">
        <is>
          <t>1997-04-28</t>
        </is>
      </c>
      <c r="W469" t="inlineStr">
        <is>
          <t>1991-12-12</t>
        </is>
      </c>
      <c r="X469" t="inlineStr">
        <is>
          <t>1991-12-12</t>
        </is>
      </c>
      <c r="Y469" t="n">
        <v>115</v>
      </c>
      <c r="Z469" t="n">
        <v>96</v>
      </c>
      <c r="AA469" t="n">
        <v>505</v>
      </c>
      <c r="AB469" t="n">
        <v>1</v>
      </c>
      <c r="AC469" t="n">
        <v>4</v>
      </c>
      <c r="AD469" t="n">
        <v>1</v>
      </c>
      <c r="AE469" t="n">
        <v>6</v>
      </c>
      <c r="AF469" t="n">
        <v>0</v>
      </c>
      <c r="AG469" t="n">
        <v>2</v>
      </c>
      <c r="AH469" t="n">
        <v>1</v>
      </c>
      <c r="AI469" t="n">
        <v>1</v>
      </c>
      <c r="AJ469" t="n">
        <v>0</v>
      </c>
      <c r="AK469" t="n">
        <v>1</v>
      </c>
      <c r="AL469" t="n">
        <v>0</v>
      </c>
      <c r="AM469" t="n">
        <v>3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HYPERLINK("http://catalog.hathitrust.org/Record/002559428","HathiTrust Record")</f>
        <v/>
      </c>
      <c r="AS469">
        <f>HYPERLINK("https://creighton-primo.hosted.exlibrisgroup.com/primo-explore/search?tab=default_tab&amp;search_scope=EVERYTHING&amp;vid=01CRU&amp;lang=en_US&amp;offset=0&amp;query=any,contains,991001025579702656","Catalog Record")</f>
        <v/>
      </c>
      <c r="AT469">
        <f>HYPERLINK("http://www.worldcat.org/oclc/24808026","WorldCat Record")</f>
        <v/>
      </c>
    </row>
    <row r="470">
      <c r="A470" t="inlineStr">
        <is>
          <t>No</t>
        </is>
      </c>
      <c r="B470" t="inlineStr">
        <is>
          <t>QV 177 S439d 1969</t>
        </is>
      </c>
      <c r="C470" t="inlineStr">
        <is>
          <t>0                      QV 0177000S  439d        1969</t>
        </is>
      </c>
      <c r="D470" t="inlineStr">
        <is>
          <t>The doctors' case against the pill.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Seaman, Barbara.</t>
        </is>
      </c>
      <c r="L470" t="inlineStr">
        <is>
          <t>New York : P.H. Wyden, 1969.</t>
        </is>
      </c>
      <c r="M470" t="inlineStr">
        <is>
          <t>1969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QV </t>
        </is>
      </c>
      <c r="S470" t="n">
        <v>1</v>
      </c>
      <c r="T470" t="n">
        <v>1</v>
      </c>
      <c r="U470" t="inlineStr">
        <is>
          <t>1996-04-30</t>
        </is>
      </c>
      <c r="V470" t="inlineStr">
        <is>
          <t>1996-04-30</t>
        </is>
      </c>
      <c r="W470" t="inlineStr">
        <is>
          <t>1988-03-25</t>
        </is>
      </c>
      <c r="X470" t="inlineStr">
        <is>
          <t>1988-03-25</t>
        </is>
      </c>
      <c r="Y470" t="n">
        <v>335</v>
      </c>
      <c r="Z470" t="n">
        <v>314</v>
      </c>
      <c r="AA470" t="n">
        <v>605</v>
      </c>
      <c r="AB470" t="n">
        <v>5</v>
      </c>
      <c r="AC470" t="n">
        <v>6</v>
      </c>
      <c r="AD470" t="n">
        <v>13</v>
      </c>
      <c r="AE470" t="n">
        <v>15</v>
      </c>
      <c r="AF470" t="n">
        <v>2</v>
      </c>
      <c r="AG470" t="n">
        <v>4</v>
      </c>
      <c r="AH470" t="n">
        <v>3</v>
      </c>
      <c r="AI470" t="n">
        <v>3</v>
      </c>
      <c r="AJ470" t="n">
        <v>5</v>
      </c>
      <c r="AK470" t="n">
        <v>6</v>
      </c>
      <c r="AL470" t="n">
        <v>4</v>
      </c>
      <c r="AM470" t="n">
        <v>4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HYPERLINK("http://catalog.hathitrust.org/Record/001569651","HathiTrust Record")</f>
        <v/>
      </c>
      <c r="AS470">
        <f>HYPERLINK("https://creighton-primo.hosted.exlibrisgroup.com/primo-explore/search?tab=default_tab&amp;search_scope=EVERYTHING&amp;vid=01CRU&amp;lang=en_US&amp;offset=0&amp;query=any,contains,991000960059702656","Catalog Record")</f>
        <v/>
      </c>
      <c r="AT470">
        <f>HYPERLINK("http://www.worldcat.org/oclc/30564","WorldCat Record")</f>
        <v/>
      </c>
    </row>
    <row r="471">
      <c r="A471" t="inlineStr">
        <is>
          <t>No</t>
        </is>
      </c>
      <c r="B471" t="inlineStr">
        <is>
          <t>QV183 B749i 1962</t>
        </is>
      </c>
      <c r="C471" t="inlineStr">
        <is>
          <t>0                      QV 0183000B  749i        1962</t>
        </is>
      </c>
      <c r="D471" t="inlineStr">
        <is>
          <t>Iron metabolism / Thomas H. Bothwell and Clement A. Finch.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Bothwell, Thomas H. (Thomas Hamilton)</t>
        </is>
      </c>
      <c r="L471" t="inlineStr">
        <is>
          <t>Boston : Little, Brown, c1962.</t>
        </is>
      </c>
      <c r="M471" t="inlineStr">
        <is>
          <t>1962</t>
        </is>
      </c>
      <c r="N471" t="inlineStr">
        <is>
          <t>[1st ed.].</t>
        </is>
      </c>
      <c r="O471" t="inlineStr">
        <is>
          <t>eng</t>
        </is>
      </c>
      <c r="P471" t="inlineStr">
        <is>
          <t>mau</t>
        </is>
      </c>
      <c r="R471" t="inlineStr">
        <is>
          <t xml:space="preserve">QV </t>
        </is>
      </c>
      <c r="S471" t="n">
        <v>2</v>
      </c>
      <c r="T471" t="n">
        <v>2</v>
      </c>
      <c r="U471" t="inlineStr">
        <is>
          <t>1999-11-24</t>
        </is>
      </c>
      <c r="V471" t="inlineStr">
        <is>
          <t>1999-11-24</t>
        </is>
      </c>
      <c r="W471" t="inlineStr">
        <is>
          <t>1988-03-17</t>
        </is>
      </c>
      <c r="X471" t="inlineStr">
        <is>
          <t>1988-03-17</t>
        </is>
      </c>
      <c r="Y471" t="n">
        <v>151</v>
      </c>
      <c r="Z471" t="n">
        <v>112</v>
      </c>
      <c r="AA471" t="n">
        <v>115</v>
      </c>
      <c r="AB471" t="n">
        <v>1</v>
      </c>
      <c r="AC471" t="n">
        <v>1</v>
      </c>
      <c r="AD471" t="n">
        <v>1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1</v>
      </c>
      <c r="AL471" t="n">
        <v>0</v>
      </c>
      <c r="AM471" t="n">
        <v>0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HYPERLINK("http://catalog.hathitrust.org/Record/001576933","HathiTrust Record")</f>
        <v/>
      </c>
      <c r="AS471">
        <f>HYPERLINK("https://creighton-primo.hosted.exlibrisgroup.com/primo-explore/search?tab=default_tab&amp;search_scope=EVERYTHING&amp;vid=01CRU&amp;lang=en_US&amp;offset=0&amp;query=any,contains,991000960019702656","Catalog Record")</f>
        <v/>
      </c>
      <c r="AT471">
        <f>HYPERLINK("http://www.worldcat.org/oclc/559626","WorldCat Record")</f>
        <v/>
      </c>
    </row>
    <row r="472">
      <c r="A472" t="inlineStr">
        <is>
          <t>No</t>
        </is>
      </c>
      <c r="B472" t="inlineStr">
        <is>
          <t>QV 183 I701 1992</t>
        </is>
      </c>
      <c r="C472" t="inlineStr">
        <is>
          <t>0                      QV 0183000I  701         1992</t>
        </is>
      </c>
      <c r="D472" t="inlineStr">
        <is>
          <t>Iron and human disease / edited by Randall B. Lauffer.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Boca Raton : CRC Press, c1992.</t>
        </is>
      </c>
      <c r="M472" t="inlineStr">
        <is>
          <t>1992</t>
        </is>
      </c>
      <c r="O472" t="inlineStr">
        <is>
          <t>eng</t>
        </is>
      </c>
      <c r="P472" t="inlineStr">
        <is>
          <t>flu</t>
        </is>
      </c>
      <c r="R472" t="inlineStr">
        <is>
          <t xml:space="preserve">QV </t>
        </is>
      </c>
      <c r="S472" t="n">
        <v>11</v>
      </c>
      <c r="T472" t="n">
        <v>11</v>
      </c>
      <c r="U472" t="inlineStr">
        <is>
          <t>2001-03-16</t>
        </is>
      </c>
      <c r="V472" t="inlineStr">
        <is>
          <t>2001-03-16</t>
        </is>
      </c>
      <c r="W472" t="inlineStr">
        <is>
          <t>1992-09-09</t>
        </is>
      </c>
      <c r="X472" t="inlineStr">
        <is>
          <t>1992-09-09</t>
        </is>
      </c>
      <c r="Y472" t="n">
        <v>120</v>
      </c>
      <c r="Z472" t="n">
        <v>86</v>
      </c>
      <c r="AA472" t="n">
        <v>122</v>
      </c>
      <c r="AB472" t="n">
        <v>2</v>
      </c>
      <c r="AC472" t="n">
        <v>2</v>
      </c>
      <c r="AD472" t="n">
        <v>2</v>
      </c>
      <c r="AE472" t="n">
        <v>2</v>
      </c>
      <c r="AF472" t="n">
        <v>0</v>
      </c>
      <c r="AG472" t="n">
        <v>0</v>
      </c>
      <c r="AH472" t="n">
        <v>1</v>
      </c>
      <c r="AI472" t="n">
        <v>1</v>
      </c>
      <c r="AJ472" t="n">
        <v>0</v>
      </c>
      <c r="AK472" t="n">
        <v>0</v>
      </c>
      <c r="AL472" t="n">
        <v>1</v>
      </c>
      <c r="AM472" t="n">
        <v>1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HYPERLINK("https://creighton-primo.hosted.exlibrisgroup.com/primo-explore/search?tab=default_tab&amp;search_scope=EVERYTHING&amp;vid=01CRU&amp;lang=en_US&amp;offset=0&amp;query=any,contains,991001341579702656","Catalog Record")</f>
        <v/>
      </c>
      <c r="AT472">
        <f>HYPERLINK("http://www.worldcat.org/oclc/25282412","WorldCat Record")</f>
        <v/>
      </c>
    </row>
    <row r="473">
      <c r="A473" t="inlineStr">
        <is>
          <t>No</t>
        </is>
      </c>
      <c r="B473" t="inlineStr">
        <is>
          <t>QV 183 I713 1994</t>
        </is>
      </c>
      <c r="C473" t="inlineStr">
        <is>
          <t>0                      QV 0183000I  713         1994</t>
        </is>
      </c>
      <c r="D473" t="inlineStr">
        <is>
          <t>Iron metabolism in health and disease / edited by Jeremy H. Brock ... [et al.].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London ; Philadelpha : W.B. Saunders, c1994.</t>
        </is>
      </c>
      <c r="M473" t="inlineStr">
        <is>
          <t>1994</t>
        </is>
      </c>
      <c r="O473" t="inlineStr">
        <is>
          <t>eng</t>
        </is>
      </c>
      <c r="P473" t="inlineStr">
        <is>
          <t>enk</t>
        </is>
      </c>
      <c r="R473" t="inlineStr">
        <is>
          <t xml:space="preserve">QV </t>
        </is>
      </c>
      <c r="S473" t="n">
        <v>9</v>
      </c>
      <c r="T473" t="n">
        <v>9</v>
      </c>
      <c r="U473" t="inlineStr">
        <is>
          <t>1999-12-06</t>
        </is>
      </c>
      <c r="V473" t="inlineStr">
        <is>
          <t>1999-12-06</t>
        </is>
      </c>
      <c r="W473" t="inlineStr">
        <is>
          <t>1994-09-12</t>
        </is>
      </c>
      <c r="X473" t="inlineStr">
        <is>
          <t>1994-09-12</t>
        </is>
      </c>
      <c r="Y473" t="n">
        <v>117</v>
      </c>
      <c r="Z473" t="n">
        <v>69</v>
      </c>
      <c r="AA473" t="n">
        <v>71</v>
      </c>
      <c r="AB473" t="n">
        <v>1</v>
      </c>
      <c r="AC473" t="n">
        <v>1</v>
      </c>
      <c r="AD473" t="n">
        <v>2</v>
      </c>
      <c r="AE473" t="n">
        <v>2</v>
      </c>
      <c r="AF473" t="n">
        <v>1</v>
      </c>
      <c r="AG473" t="n">
        <v>1</v>
      </c>
      <c r="AH473" t="n">
        <v>0</v>
      </c>
      <c r="AI473" t="n">
        <v>0</v>
      </c>
      <c r="AJ473" t="n">
        <v>2</v>
      </c>
      <c r="AK473" t="n">
        <v>2</v>
      </c>
      <c r="AL473" t="n">
        <v>0</v>
      </c>
      <c r="AM473" t="n">
        <v>0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HYPERLINK("http://catalog.hathitrust.org/Record/002981869","HathiTrust Record")</f>
        <v/>
      </c>
      <c r="AS473">
        <f>HYPERLINK("https://creighton-primo.hosted.exlibrisgroup.com/primo-explore/search?tab=default_tab&amp;search_scope=EVERYTHING&amp;vid=01CRU&amp;lang=en_US&amp;offset=0&amp;query=any,contains,991000677509702656","Catalog Record")</f>
        <v/>
      </c>
      <c r="AT473">
        <f>HYPERLINK("http://www.worldcat.org/oclc/30493282","WorldCat Record")</f>
        <v/>
      </c>
    </row>
    <row r="474">
      <c r="A474" t="inlineStr">
        <is>
          <t>No</t>
        </is>
      </c>
      <c r="B474" t="inlineStr">
        <is>
          <t>QV 183 J17i 1974</t>
        </is>
      </c>
      <c r="C474" t="inlineStr">
        <is>
          <t>0                      QV 0183000J  17i         1974</t>
        </is>
      </c>
      <c r="D474" t="inlineStr">
        <is>
          <t>Iron in biochemistry / Edited by A. Jacobs and M. Worwood.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Jacobs, A. (Allan), editor.</t>
        </is>
      </c>
      <c r="L474" t="inlineStr">
        <is>
          <t>London ; New York : Academic Press, 1974.</t>
        </is>
      </c>
      <c r="M474" t="inlineStr">
        <is>
          <t>1974</t>
        </is>
      </c>
      <c r="O474" t="inlineStr">
        <is>
          <t>eng</t>
        </is>
      </c>
      <c r="P474" t="inlineStr">
        <is>
          <t xml:space="preserve">xx </t>
        </is>
      </c>
      <c r="R474" t="inlineStr">
        <is>
          <t xml:space="preserve">QV </t>
        </is>
      </c>
      <c r="S474" t="n">
        <v>5</v>
      </c>
      <c r="T474" t="n">
        <v>5</v>
      </c>
      <c r="U474" t="inlineStr">
        <is>
          <t>2001-08-30</t>
        </is>
      </c>
      <c r="V474" t="inlineStr">
        <is>
          <t>2001-08-30</t>
        </is>
      </c>
      <c r="W474" t="inlineStr">
        <is>
          <t>1988-03-17</t>
        </is>
      </c>
      <c r="X474" t="inlineStr">
        <is>
          <t>1988-03-17</t>
        </is>
      </c>
      <c r="Y474" t="n">
        <v>23</v>
      </c>
      <c r="Z474" t="n">
        <v>16</v>
      </c>
      <c r="AA474" t="n">
        <v>16</v>
      </c>
      <c r="AB474" t="n">
        <v>1</v>
      </c>
      <c r="AC474" t="n">
        <v>1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HYPERLINK("https://creighton-primo.hosted.exlibrisgroup.com/primo-explore/search?tab=default_tab&amp;search_scope=EVERYTHING&amp;vid=01CRU&amp;lang=en_US&amp;offset=0&amp;query=any,contains,991000959979702656","Catalog Record")</f>
        <v/>
      </c>
      <c r="AT474">
        <f>HYPERLINK("http://www.worldcat.org/oclc/1201484","WorldCat Record")</f>
        <v/>
      </c>
    </row>
    <row r="475">
      <c r="A475" t="inlineStr">
        <is>
          <t>No</t>
        </is>
      </c>
      <c r="B475" t="inlineStr">
        <is>
          <t>QV 190 C697t 1985</t>
        </is>
      </c>
      <c r="C475" t="inlineStr">
        <is>
          <t>0                      QV 0190000C  697t        1985</t>
        </is>
      </c>
      <c r="D475" t="inlineStr">
        <is>
          <t>Thrombolysis : biological and therapeutic properties of new thrombolytic agents / D. Collen, H.R. Lijnen, M. Verstraete.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Collen, D. (Désiré)</t>
        </is>
      </c>
      <c r="L475" t="inlineStr">
        <is>
          <t>Edinburgh ; New York : Churchill Livingstone, c1985.</t>
        </is>
      </c>
      <c r="M475" t="inlineStr">
        <is>
          <t>1985</t>
        </is>
      </c>
      <c r="O475" t="inlineStr">
        <is>
          <t>eng</t>
        </is>
      </c>
      <c r="P475" t="inlineStr">
        <is>
          <t>stk</t>
        </is>
      </c>
      <c r="R475" t="inlineStr">
        <is>
          <t xml:space="preserve">QV </t>
        </is>
      </c>
      <c r="S475" t="n">
        <v>4</v>
      </c>
      <c r="T475" t="n">
        <v>4</v>
      </c>
      <c r="U475" t="inlineStr">
        <is>
          <t>1992-02-09</t>
        </is>
      </c>
      <c r="V475" t="inlineStr">
        <is>
          <t>1992-02-09</t>
        </is>
      </c>
      <c r="W475" t="inlineStr">
        <is>
          <t>1988-02-08</t>
        </is>
      </c>
      <c r="X475" t="inlineStr">
        <is>
          <t>1988-02-08</t>
        </is>
      </c>
      <c r="Y475" t="n">
        <v>86</v>
      </c>
      <c r="Z475" t="n">
        <v>53</v>
      </c>
      <c r="AA475" t="n">
        <v>55</v>
      </c>
      <c r="AB475" t="n">
        <v>1</v>
      </c>
      <c r="AC475" t="n">
        <v>1</v>
      </c>
      <c r="AD475" t="n">
        <v>1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1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HYPERLINK("http://catalog.hathitrust.org/Record/000806932","HathiTrust Record")</f>
        <v/>
      </c>
      <c r="AS475">
        <f>HYPERLINK("https://creighton-primo.hosted.exlibrisgroup.com/primo-explore/search?tab=default_tab&amp;search_scope=EVERYTHING&amp;vid=01CRU&amp;lang=en_US&amp;offset=0&amp;query=any,contains,991000959929702656","Catalog Record")</f>
        <v/>
      </c>
      <c r="AT475">
        <f>HYPERLINK("http://www.worldcat.org/oclc/12418782","WorldCat Record")</f>
        <v/>
      </c>
    </row>
    <row r="476">
      <c r="A476" t="inlineStr">
        <is>
          <t>No</t>
        </is>
      </c>
      <c r="B476" t="inlineStr">
        <is>
          <t>QV 193 C513a 1980</t>
        </is>
      </c>
      <c r="C476" t="inlineStr">
        <is>
          <t>0                      QV 0193000C  513a        1980</t>
        </is>
      </c>
      <c r="D476" t="inlineStr">
        <is>
          <t>Anticoagulants and fibrinolytics / E.I. Chazov, K.M. Lakin ; translators, E.P. Fadeev, G.S. Vats, A.P. Bermont.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Chazov, E. I.</t>
        </is>
      </c>
      <c r="L476" t="inlineStr">
        <is>
          <t>Chicago : Year Book Medical Publishers, c1980.</t>
        </is>
      </c>
      <c r="M476" t="inlineStr">
        <is>
          <t>1980</t>
        </is>
      </c>
      <c r="O476" t="inlineStr">
        <is>
          <t>eng</t>
        </is>
      </c>
      <c r="P476" t="inlineStr">
        <is>
          <t>xxu</t>
        </is>
      </c>
      <c r="R476" t="inlineStr">
        <is>
          <t xml:space="preserve">QV </t>
        </is>
      </c>
      <c r="S476" t="n">
        <v>3</v>
      </c>
      <c r="T476" t="n">
        <v>3</v>
      </c>
      <c r="U476" t="inlineStr">
        <is>
          <t>1997-07-01</t>
        </is>
      </c>
      <c r="V476" t="inlineStr">
        <is>
          <t>1997-07-01</t>
        </is>
      </c>
      <c r="W476" t="inlineStr">
        <is>
          <t>1987-08-25</t>
        </is>
      </c>
      <c r="X476" t="inlineStr">
        <is>
          <t>1987-08-25</t>
        </is>
      </c>
      <c r="Y476" t="n">
        <v>81</v>
      </c>
      <c r="Z476" t="n">
        <v>48</v>
      </c>
      <c r="AA476" t="n">
        <v>50</v>
      </c>
      <c r="AB476" t="n">
        <v>1</v>
      </c>
      <c r="AC476" t="n">
        <v>1</v>
      </c>
      <c r="AD476" t="n">
        <v>1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1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HYPERLINK("http://catalog.hathitrust.org/Record/003794812","HathiTrust Record")</f>
        <v/>
      </c>
      <c r="AS476">
        <f>HYPERLINK("https://creighton-primo.hosted.exlibrisgroup.com/primo-explore/search?tab=default_tab&amp;search_scope=EVERYTHING&amp;vid=01CRU&amp;lang=en_US&amp;offset=0&amp;query=any,contains,991000960259702656","Catalog Record")</f>
        <v/>
      </c>
      <c r="AT476">
        <f>HYPERLINK("http://www.worldcat.org/oclc/6581208","WorldCat Record")</f>
        <v/>
      </c>
    </row>
    <row r="477">
      <c r="A477" t="inlineStr">
        <is>
          <t>No</t>
        </is>
      </c>
      <c r="B477" t="inlineStr">
        <is>
          <t>QV 193 C8547 2008</t>
        </is>
      </c>
      <c r="C477" t="inlineStr">
        <is>
          <t>0                      QV 0193000C  8547        2008</t>
        </is>
      </c>
      <c r="D477" t="inlineStr">
        <is>
          <t>Coumarin anticoagulant research progress / Joseph P. Edardes, editor.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York : Nova Biomedical Books, c2008.</t>
        </is>
      </c>
      <c r="M477" t="inlineStr">
        <is>
          <t>2008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QV </t>
        </is>
      </c>
      <c r="S477" t="n">
        <v>0</v>
      </c>
      <c r="T477" t="n">
        <v>0</v>
      </c>
      <c r="U477" t="inlineStr">
        <is>
          <t>2008-10-16</t>
        </is>
      </c>
      <c r="V477" t="inlineStr">
        <is>
          <t>2008-10-16</t>
        </is>
      </c>
      <c r="W477" t="inlineStr">
        <is>
          <t>2008-10-16</t>
        </is>
      </c>
      <c r="X477" t="inlineStr">
        <is>
          <t>2008-10-16</t>
        </is>
      </c>
      <c r="Y477" t="n">
        <v>20</v>
      </c>
      <c r="Z477" t="n">
        <v>15</v>
      </c>
      <c r="AA477" t="n">
        <v>15</v>
      </c>
      <c r="AB477" t="n">
        <v>1</v>
      </c>
      <c r="AC477" t="n">
        <v>1</v>
      </c>
      <c r="AD477" t="n">
        <v>1</v>
      </c>
      <c r="AE477" t="n">
        <v>1</v>
      </c>
      <c r="AF477" t="n">
        <v>0</v>
      </c>
      <c r="AG477" t="n">
        <v>0</v>
      </c>
      <c r="AH477" t="n">
        <v>1</v>
      </c>
      <c r="AI477" t="n">
        <v>1</v>
      </c>
      <c r="AJ477" t="n">
        <v>1</v>
      </c>
      <c r="AK477" t="n">
        <v>1</v>
      </c>
      <c r="AL477" t="n">
        <v>0</v>
      </c>
      <c r="AM477" t="n">
        <v>0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HYPERLINK("https://creighton-primo.hosted.exlibrisgroup.com/primo-explore/search?tab=default_tab&amp;search_scope=EVERYTHING&amp;vid=01CRU&amp;lang=en_US&amp;offset=0&amp;query=any,contains,991001323939702656","Catalog Record")</f>
        <v/>
      </c>
      <c r="AT477">
        <f>HYPERLINK("http://www.worldcat.org/oclc/165048857","WorldCat Record")</f>
        <v/>
      </c>
    </row>
    <row r="478">
      <c r="A478" t="inlineStr">
        <is>
          <t>No</t>
        </is>
      </c>
      <c r="B478" t="inlineStr">
        <is>
          <t>QV 195 O35a 1984</t>
        </is>
      </c>
      <c r="C478" t="inlineStr">
        <is>
          <t>0                      QV 0195000O  35a         1984</t>
        </is>
      </c>
      <c r="D478" t="inlineStr">
        <is>
          <t>Antifibrinolytic drugs : chemistry, pharmacology, and clinical usage / Derek Ogston.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Ogston, Derek.</t>
        </is>
      </c>
      <c r="L478" t="inlineStr">
        <is>
          <t>Chichester ; New York : Wiley, c1984.</t>
        </is>
      </c>
      <c r="M478" t="inlineStr">
        <is>
          <t>1984</t>
        </is>
      </c>
      <c r="O478" t="inlineStr">
        <is>
          <t>eng</t>
        </is>
      </c>
      <c r="P478" t="inlineStr">
        <is>
          <t xml:space="preserve">aa </t>
        </is>
      </c>
      <c r="Q478" t="inlineStr">
        <is>
          <t>A Wiley medical publication</t>
        </is>
      </c>
      <c r="R478" t="inlineStr">
        <is>
          <t xml:space="preserve">QV </t>
        </is>
      </c>
      <c r="S478" t="n">
        <v>3</v>
      </c>
      <c r="T478" t="n">
        <v>3</v>
      </c>
      <c r="U478" t="inlineStr">
        <is>
          <t>1992-05-05</t>
        </is>
      </c>
      <c r="V478" t="inlineStr">
        <is>
          <t>1992-05-05</t>
        </is>
      </c>
      <c r="W478" t="inlineStr">
        <is>
          <t>1988-02-09</t>
        </is>
      </c>
      <c r="X478" t="inlineStr">
        <is>
          <t>1988-02-09</t>
        </is>
      </c>
      <c r="Y478" t="n">
        <v>104</v>
      </c>
      <c r="Z478" t="n">
        <v>74</v>
      </c>
      <c r="AA478" t="n">
        <v>76</v>
      </c>
      <c r="AB478" t="n">
        <v>1</v>
      </c>
      <c r="AC478" t="n">
        <v>1</v>
      </c>
      <c r="AD478" t="n">
        <v>2</v>
      </c>
      <c r="AE478" t="n">
        <v>2</v>
      </c>
      <c r="AF478" t="n">
        <v>0</v>
      </c>
      <c r="AG478" t="n">
        <v>0</v>
      </c>
      <c r="AH478" t="n">
        <v>1</v>
      </c>
      <c r="AI478" t="n">
        <v>1</v>
      </c>
      <c r="AJ478" t="n">
        <v>1</v>
      </c>
      <c r="AK478" t="n">
        <v>1</v>
      </c>
      <c r="AL478" t="n">
        <v>0</v>
      </c>
      <c r="AM478" t="n">
        <v>0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HYPERLINK("http://catalog.hathitrust.org/Record/000456177","HathiTrust Record")</f>
        <v/>
      </c>
      <c r="AS478">
        <f>HYPERLINK("https://creighton-primo.hosted.exlibrisgroup.com/primo-explore/search?tab=default_tab&amp;search_scope=EVERYTHING&amp;vid=01CRU&amp;lang=en_US&amp;offset=0&amp;query=any,contains,991000960299702656","Catalog Record")</f>
        <v/>
      </c>
      <c r="AT478">
        <f>HYPERLINK("http://www.worldcat.org/oclc/10912707","WorldCat Record")</f>
        <v/>
      </c>
    </row>
    <row r="479">
      <c r="A479" t="inlineStr">
        <is>
          <t>No</t>
        </is>
      </c>
      <c r="B479" t="inlineStr">
        <is>
          <t>QV 220 D611 1983</t>
        </is>
      </c>
      <c r="C479" t="inlineStr">
        <is>
          <t>0                      QV 0220000D  611         1983</t>
        </is>
      </c>
      <c r="D479" t="inlineStr">
        <is>
          <t>Disinfection, sterilization, and preservation / Seymour S. Block.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Yes</t>
        </is>
      </c>
      <c r="J479" t="inlineStr">
        <is>
          <t>0</t>
        </is>
      </c>
      <c r="L479" t="inlineStr">
        <is>
          <t>Philadelphia : Lea &amp; Febiger, c1983.</t>
        </is>
      </c>
      <c r="M479" t="inlineStr">
        <is>
          <t>1983</t>
        </is>
      </c>
      <c r="N479" t="inlineStr">
        <is>
          <t>3rd ed.</t>
        </is>
      </c>
      <c r="O479" t="inlineStr">
        <is>
          <t>eng</t>
        </is>
      </c>
      <c r="P479" t="inlineStr">
        <is>
          <t>xxu</t>
        </is>
      </c>
      <c r="R479" t="inlineStr">
        <is>
          <t xml:space="preserve">QV </t>
        </is>
      </c>
      <c r="S479" t="n">
        <v>9</v>
      </c>
      <c r="T479" t="n">
        <v>9</v>
      </c>
      <c r="U479" t="inlineStr">
        <is>
          <t>1996-06-21</t>
        </is>
      </c>
      <c r="V479" t="inlineStr">
        <is>
          <t>1996-06-21</t>
        </is>
      </c>
      <c r="W479" t="inlineStr">
        <is>
          <t>1988-02-09</t>
        </is>
      </c>
      <c r="X479" t="inlineStr">
        <is>
          <t>1988-02-09</t>
        </is>
      </c>
      <c r="Y479" t="n">
        <v>331</v>
      </c>
      <c r="Z479" t="n">
        <v>248</v>
      </c>
      <c r="AA479" t="n">
        <v>711</v>
      </c>
      <c r="AB479" t="n">
        <v>1</v>
      </c>
      <c r="AC479" t="n">
        <v>6</v>
      </c>
      <c r="AD479" t="n">
        <v>5</v>
      </c>
      <c r="AE479" t="n">
        <v>18</v>
      </c>
      <c r="AF479" t="n">
        <v>1</v>
      </c>
      <c r="AG479" t="n">
        <v>7</v>
      </c>
      <c r="AH479" t="n">
        <v>3</v>
      </c>
      <c r="AI479" t="n">
        <v>4</v>
      </c>
      <c r="AJ479" t="n">
        <v>3</v>
      </c>
      <c r="AK479" t="n">
        <v>8</v>
      </c>
      <c r="AL479" t="n">
        <v>0</v>
      </c>
      <c r="AM479" t="n">
        <v>4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HYPERLINK("http://catalog.hathitrust.org/Record/000776175","HathiTrust Record")</f>
        <v/>
      </c>
      <c r="AS479">
        <f>HYPERLINK("https://creighton-primo.hosted.exlibrisgroup.com/primo-explore/search?tab=default_tab&amp;search_scope=EVERYTHING&amp;vid=01CRU&amp;lang=en_US&amp;offset=0&amp;query=any,contains,991000960219702656","Catalog Record")</f>
        <v/>
      </c>
      <c r="AT479">
        <f>HYPERLINK("http://www.worldcat.org/oclc/9110784","WorldCat Record")</f>
        <v/>
      </c>
    </row>
    <row r="480">
      <c r="A480" t="inlineStr">
        <is>
          <t>No</t>
        </is>
      </c>
      <c r="B480" t="inlineStr">
        <is>
          <t>QV 240 S631f 1994</t>
        </is>
      </c>
      <c r="C480" t="inlineStr">
        <is>
          <t>0                      QV 0240000S  631f        1994</t>
        </is>
      </c>
      <c r="D480" t="inlineStr">
        <is>
          <t>Fluorescent probes in cellular and molecular biology / Jan Slavik.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Slavík, Jan, Ph.D.</t>
        </is>
      </c>
      <c r="L480" t="inlineStr">
        <is>
          <t>Boca Raton : CRC Press, c1994.</t>
        </is>
      </c>
      <c r="M480" t="inlineStr">
        <is>
          <t>1994</t>
        </is>
      </c>
      <c r="O480" t="inlineStr">
        <is>
          <t>eng</t>
        </is>
      </c>
      <c r="P480" t="inlineStr">
        <is>
          <t>flu</t>
        </is>
      </c>
      <c r="R480" t="inlineStr">
        <is>
          <t xml:space="preserve">QV </t>
        </is>
      </c>
      <c r="S480" t="n">
        <v>3</v>
      </c>
      <c r="T480" t="n">
        <v>3</v>
      </c>
      <c r="U480" t="inlineStr">
        <is>
          <t>1994-12-08</t>
        </is>
      </c>
      <c r="V480" t="inlineStr">
        <is>
          <t>1994-12-08</t>
        </is>
      </c>
      <c r="W480" t="inlineStr">
        <is>
          <t>1994-09-13</t>
        </is>
      </c>
      <c r="X480" t="inlineStr">
        <is>
          <t>1994-09-13</t>
        </is>
      </c>
      <c r="Y480" t="n">
        <v>246</v>
      </c>
      <c r="Z480" t="n">
        <v>179</v>
      </c>
      <c r="AA480" t="n">
        <v>179</v>
      </c>
      <c r="AB480" t="n">
        <v>1</v>
      </c>
      <c r="AC480" t="n">
        <v>1</v>
      </c>
      <c r="AD480" t="n">
        <v>4</v>
      </c>
      <c r="AE480" t="n">
        <v>4</v>
      </c>
      <c r="AF480" t="n">
        <v>1</v>
      </c>
      <c r="AG480" t="n">
        <v>1</v>
      </c>
      <c r="AH480" t="n">
        <v>2</v>
      </c>
      <c r="AI480" t="n">
        <v>2</v>
      </c>
      <c r="AJ480" t="n">
        <v>3</v>
      </c>
      <c r="AK480" t="n">
        <v>3</v>
      </c>
      <c r="AL480" t="n">
        <v>0</v>
      </c>
      <c r="AM480" t="n">
        <v>0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HYPERLINK("https://creighton-primo.hosted.exlibrisgroup.com/primo-explore/search?tab=default_tab&amp;search_scope=EVERYTHING&amp;vid=01CRU&amp;lang=en_US&amp;offset=0&amp;query=any,contains,991000679679702656","Catalog Record")</f>
        <v/>
      </c>
      <c r="AT480">
        <f>HYPERLINK("http://www.worldcat.org/oclc/28585198","WorldCat Record")</f>
        <v/>
      </c>
    </row>
    <row r="481">
      <c r="A481" t="inlineStr">
        <is>
          <t>No</t>
        </is>
      </c>
      <c r="B481" t="inlineStr">
        <is>
          <t>QV 247 A6292 1985</t>
        </is>
      </c>
      <c r="C481" t="inlineStr">
        <is>
          <t>0                      QV 0247000A  6292        1985</t>
        </is>
      </c>
      <c r="D481" t="inlineStr">
        <is>
          <t>Anti-inflammatory and anti-rheumatic drugs / editor, K.D. Rainsford.</t>
        </is>
      </c>
      <c r="E481" t="inlineStr">
        <is>
          <t>V. 3</t>
        </is>
      </c>
      <c r="F481" t="inlineStr">
        <is>
          <t>Yes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L481" t="inlineStr">
        <is>
          <t>Boca Raton, Fla. : CRC Press, c1985.</t>
        </is>
      </c>
      <c r="M481" t="inlineStr">
        <is>
          <t>1985</t>
        </is>
      </c>
      <c r="O481" t="inlineStr">
        <is>
          <t>eng</t>
        </is>
      </c>
      <c r="P481" t="inlineStr">
        <is>
          <t>xxu</t>
        </is>
      </c>
      <c r="R481" t="inlineStr">
        <is>
          <t xml:space="preserve">QV </t>
        </is>
      </c>
      <c r="S481" t="n">
        <v>3</v>
      </c>
      <c r="T481" t="n">
        <v>11</v>
      </c>
      <c r="U481" t="inlineStr">
        <is>
          <t>1992-02-14</t>
        </is>
      </c>
      <c r="V481" t="inlineStr">
        <is>
          <t>2007-12-04</t>
        </is>
      </c>
      <c r="W481" t="inlineStr">
        <is>
          <t>1988-02-09</t>
        </is>
      </c>
      <c r="X481" t="inlineStr">
        <is>
          <t>1988-02-09</t>
        </is>
      </c>
      <c r="Y481" t="n">
        <v>128</v>
      </c>
      <c r="Z481" t="n">
        <v>102</v>
      </c>
      <c r="AA481" t="n">
        <v>104</v>
      </c>
      <c r="AB481" t="n">
        <v>1</v>
      </c>
      <c r="AC481" t="n">
        <v>1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HYPERLINK("http://catalog.hathitrust.org/Record/000580163","HathiTrust Record")</f>
        <v/>
      </c>
      <c r="AS481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1">
        <f>HYPERLINK("http://www.worldcat.org/oclc/11113868","WorldCat Record")</f>
        <v/>
      </c>
    </row>
    <row r="482">
      <c r="A482" t="inlineStr">
        <is>
          <t>No</t>
        </is>
      </c>
      <c r="B482" t="inlineStr">
        <is>
          <t>QV 247 A6292 1985</t>
        </is>
      </c>
      <c r="C482" t="inlineStr">
        <is>
          <t>0                      QV 0247000A  6292        1985</t>
        </is>
      </c>
      <c r="D482" t="inlineStr">
        <is>
          <t>Anti-inflammatory and anti-rheumatic drugs / editor, K.D. Rainsford.</t>
        </is>
      </c>
      <c r="E482" t="inlineStr">
        <is>
          <t>V. 1</t>
        </is>
      </c>
      <c r="F482" t="inlineStr">
        <is>
          <t>Yes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L482" t="inlineStr">
        <is>
          <t>Boca Raton, Fla. : CRC Press, c1985.</t>
        </is>
      </c>
      <c r="M482" t="inlineStr">
        <is>
          <t>1985</t>
        </is>
      </c>
      <c r="O482" t="inlineStr">
        <is>
          <t>eng</t>
        </is>
      </c>
      <c r="P482" t="inlineStr">
        <is>
          <t>xxu</t>
        </is>
      </c>
      <c r="R482" t="inlineStr">
        <is>
          <t xml:space="preserve">QV </t>
        </is>
      </c>
      <c r="S482" t="n">
        <v>4</v>
      </c>
      <c r="T482" t="n">
        <v>11</v>
      </c>
      <c r="U482" t="inlineStr">
        <is>
          <t>2007-12-04</t>
        </is>
      </c>
      <c r="V482" t="inlineStr">
        <is>
          <t>2007-12-04</t>
        </is>
      </c>
      <c r="W482" t="inlineStr">
        <is>
          <t>1988-02-09</t>
        </is>
      </c>
      <c r="X482" t="inlineStr">
        <is>
          <t>1988-02-09</t>
        </is>
      </c>
      <c r="Y482" t="n">
        <v>128</v>
      </c>
      <c r="Z482" t="n">
        <v>102</v>
      </c>
      <c r="AA482" t="n">
        <v>104</v>
      </c>
      <c r="AB482" t="n">
        <v>1</v>
      </c>
      <c r="AC482" t="n">
        <v>1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0</v>
      </c>
      <c r="AM482" t="n">
        <v>0</v>
      </c>
      <c r="AN482" t="n">
        <v>0</v>
      </c>
      <c r="AO482" t="n">
        <v>0</v>
      </c>
      <c r="AP482" t="inlineStr">
        <is>
          <t>No</t>
        </is>
      </c>
      <c r="AQ482" t="inlineStr">
        <is>
          <t>Yes</t>
        </is>
      </c>
      <c r="AR482">
        <f>HYPERLINK("http://catalog.hathitrust.org/Record/000580163","HathiTrust Record")</f>
        <v/>
      </c>
      <c r="AS482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2">
        <f>HYPERLINK("http://www.worldcat.org/oclc/11113868","WorldCat Record")</f>
        <v/>
      </c>
    </row>
    <row r="483">
      <c r="A483" t="inlineStr">
        <is>
          <t>No</t>
        </is>
      </c>
      <c r="B483" t="inlineStr">
        <is>
          <t>QV 247 A6292 1985</t>
        </is>
      </c>
      <c r="C483" t="inlineStr">
        <is>
          <t>0                      QV 0247000A  6292        1985</t>
        </is>
      </c>
      <c r="D483" t="inlineStr">
        <is>
          <t>Anti-inflammatory and anti-rheumatic drugs / editor, K.D. Rainsford.</t>
        </is>
      </c>
      <c r="E483" t="inlineStr">
        <is>
          <t>V. 2</t>
        </is>
      </c>
      <c r="F483" t="inlineStr">
        <is>
          <t>Yes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L483" t="inlineStr">
        <is>
          <t>Boca Raton, Fla. : CRC Press, c1985.</t>
        </is>
      </c>
      <c r="M483" t="inlineStr">
        <is>
          <t>1985</t>
        </is>
      </c>
      <c r="O483" t="inlineStr">
        <is>
          <t>eng</t>
        </is>
      </c>
      <c r="P483" t="inlineStr">
        <is>
          <t>xxu</t>
        </is>
      </c>
      <c r="R483" t="inlineStr">
        <is>
          <t xml:space="preserve">QV </t>
        </is>
      </c>
      <c r="S483" t="n">
        <v>4</v>
      </c>
      <c r="T483" t="n">
        <v>11</v>
      </c>
      <c r="U483" t="inlineStr">
        <is>
          <t>2007-12-04</t>
        </is>
      </c>
      <c r="V483" t="inlineStr">
        <is>
          <t>2007-12-04</t>
        </is>
      </c>
      <c r="W483" t="inlineStr">
        <is>
          <t>1988-02-09</t>
        </is>
      </c>
      <c r="X483" t="inlineStr">
        <is>
          <t>1988-02-09</t>
        </is>
      </c>
      <c r="Y483" t="n">
        <v>128</v>
      </c>
      <c r="Z483" t="n">
        <v>102</v>
      </c>
      <c r="AA483" t="n">
        <v>104</v>
      </c>
      <c r="AB483" t="n">
        <v>1</v>
      </c>
      <c r="AC483" t="n">
        <v>1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HYPERLINK("http://catalog.hathitrust.org/Record/000580163","HathiTrust Record")</f>
        <v/>
      </c>
      <c r="AS483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3">
        <f>HYPERLINK("http://www.worldcat.org/oclc/11113868","WorldCat Record")</f>
        <v/>
      </c>
    </row>
    <row r="484">
      <c r="A484" t="inlineStr">
        <is>
          <t>No</t>
        </is>
      </c>
      <c r="B484" t="inlineStr">
        <is>
          <t>QV 250 A631 1980</t>
        </is>
      </c>
      <c r="C484" t="inlineStr">
        <is>
          <t>0                      QV 0250000A  631         1980</t>
        </is>
      </c>
      <c r="D484" t="inlineStr">
        <is>
          <t>Antimicrobial therapy / [edited by] Benjamin M. Kagan ; with contributions by 70 authorities.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L484" t="inlineStr">
        <is>
          <t>Philadelphia : Saunders, 1980.</t>
        </is>
      </c>
      <c r="M484" t="inlineStr">
        <is>
          <t>1980</t>
        </is>
      </c>
      <c r="N484" t="inlineStr">
        <is>
          <t>3d ed.</t>
        </is>
      </c>
      <c r="O484" t="inlineStr">
        <is>
          <t>eng</t>
        </is>
      </c>
      <c r="P484" t="inlineStr">
        <is>
          <t>xxu</t>
        </is>
      </c>
      <c r="R484" t="inlineStr">
        <is>
          <t xml:space="preserve">QV </t>
        </is>
      </c>
      <c r="S484" t="n">
        <v>1</v>
      </c>
      <c r="T484" t="n">
        <v>1</v>
      </c>
      <c r="U484" t="inlineStr">
        <is>
          <t>1997-10-28</t>
        </is>
      </c>
      <c r="V484" t="inlineStr">
        <is>
          <t>1997-10-28</t>
        </is>
      </c>
      <c r="W484" t="inlineStr">
        <is>
          <t>1987-09-28</t>
        </is>
      </c>
      <c r="X484" t="inlineStr">
        <is>
          <t>1987-09-28</t>
        </is>
      </c>
      <c r="Y484" t="n">
        <v>215</v>
      </c>
      <c r="Z484" t="n">
        <v>164</v>
      </c>
      <c r="AA484" t="n">
        <v>257</v>
      </c>
      <c r="AB484" t="n">
        <v>1</v>
      </c>
      <c r="AC484" t="n">
        <v>3</v>
      </c>
      <c r="AD484" t="n">
        <v>0</v>
      </c>
      <c r="AE484" t="n">
        <v>5</v>
      </c>
      <c r="AF484" t="n">
        <v>0</v>
      </c>
      <c r="AG484" t="n">
        <v>1</v>
      </c>
      <c r="AH484" t="n">
        <v>0</v>
      </c>
      <c r="AI484" t="n">
        <v>1</v>
      </c>
      <c r="AJ484" t="n">
        <v>0</v>
      </c>
      <c r="AK484" t="n">
        <v>1</v>
      </c>
      <c r="AL484" t="n">
        <v>0</v>
      </c>
      <c r="AM484" t="n">
        <v>2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HYPERLINK("http://catalog.hathitrust.org/Record/000138675","HathiTrust Record")</f>
        <v/>
      </c>
      <c r="AS484">
        <f>HYPERLINK("https://creighton-primo.hosted.exlibrisgroup.com/primo-explore/search?tab=default_tab&amp;search_scope=EVERYTHING&amp;vid=01CRU&amp;lang=en_US&amp;offset=0&amp;query=any,contains,991000748029702656","Catalog Record")</f>
        <v/>
      </c>
      <c r="AT484">
        <f>HYPERLINK("http://www.worldcat.org/oclc/6197170","WorldCat Record")</f>
        <v/>
      </c>
    </row>
    <row r="485">
      <c r="A485" t="inlineStr">
        <is>
          <t>No</t>
        </is>
      </c>
      <c r="B485" t="inlineStr">
        <is>
          <t>QV 250 N532 1990</t>
        </is>
      </c>
      <c r="C485" t="inlineStr">
        <is>
          <t>0                      QV 0250000N  532         1990</t>
        </is>
      </c>
      <c r="D485" t="inlineStr">
        <is>
          <t>The New generation of quinolones / edited by Clifford Siporin, Carl L. Heifetz, John M. Domagala.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L485" t="inlineStr">
        <is>
          <t>New York : M. Dekker, c1990.</t>
        </is>
      </c>
      <c r="M485" t="inlineStr">
        <is>
          <t>1990</t>
        </is>
      </c>
      <c r="O485" t="inlineStr">
        <is>
          <t>eng</t>
        </is>
      </c>
      <c r="P485" t="inlineStr">
        <is>
          <t>xxu</t>
        </is>
      </c>
      <c r="Q485" t="inlineStr">
        <is>
          <t>Infectious disease and therapy ; v. 5</t>
        </is>
      </c>
      <c r="R485" t="inlineStr">
        <is>
          <t xml:space="preserve">QV </t>
        </is>
      </c>
      <c r="S485" t="n">
        <v>6</v>
      </c>
      <c r="T485" t="n">
        <v>6</v>
      </c>
      <c r="U485" t="inlineStr">
        <is>
          <t>1996-03-28</t>
        </is>
      </c>
      <c r="V485" t="inlineStr">
        <is>
          <t>1996-03-28</t>
        </is>
      </c>
      <c r="W485" t="inlineStr">
        <is>
          <t>1991-01-24</t>
        </is>
      </c>
      <c r="X485" t="inlineStr">
        <is>
          <t>1991-01-24</t>
        </is>
      </c>
      <c r="Y485" t="n">
        <v>84</v>
      </c>
      <c r="Z485" t="n">
        <v>59</v>
      </c>
      <c r="AA485" t="n">
        <v>59</v>
      </c>
      <c r="AB485" t="n">
        <v>1</v>
      </c>
      <c r="AC485" t="n">
        <v>1</v>
      </c>
      <c r="AD485" t="n">
        <v>2</v>
      </c>
      <c r="AE485" t="n">
        <v>2</v>
      </c>
      <c r="AF485" t="n">
        <v>2</v>
      </c>
      <c r="AG485" t="n">
        <v>2</v>
      </c>
      <c r="AH485" t="n">
        <v>0</v>
      </c>
      <c r="AI485" t="n">
        <v>0</v>
      </c>
      <c r="AJ485" t="n">
        <v>0</v>
      </c>
      <c r="AK485" t="n">
        <v>0</v>
      </c>
      <c r="AL485" t="n">
        <v>0</v>
      </c>
      <c r="AM485" t="n">
        <v>0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HYPERLINK("https://creighton-primo.hosted.exlibrisgroup.com/primo-explore/search?tab=default_tab&amp;search_scope=EVERYTHING&amp;vid=01CRU&amp;lang=en_US&amp;offset=0&amp;query=any,contains,991000815879702656","Catalog Record")</f>
        <v/>
      </c>
      <c r="AT485">
        <f>HYPERLINK("http://www.worldcat.org/oclc/21909906","WorldCat Record")</f>
        <v/>
      </c>
    </row>
    <row r="486">
      <c r="A486" t="inlineStr">
        <is>
          <t>No</t>
        </is>
      </c>
      <c r="B486" t="inlineStr">
        <is>
          <t>QV 250 N5324 1993</t>
        </is>
      </c>
      <c r="C486" t="inlineStr">
        <is>
          <t>0                      QV 0250000N  5324        1993</t>
        </is>
      </c>
      <c r="D486" t="inlineStr">
        <is>
          <t>The New macrolides, azalides, and streptogramins : pharmacology and clinical applications / edited by Harold C. Neu, Lowell S. Young, Stephen H. Zinner.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New York : M. Dekker, c1993.</t>
        </is>
      </c>
      <c r="M486" t="inlineStr">
        <is>
          <t>1993</t>
        </is>
      </c>
      <c r="O486" t="inlineStr">
        <is>
          <t>eng</t>
        </is>
      </c>
      <c r="P486" t="inlineStr">
        <is>
          <t>nyu</t>
        </is>
      </c>
      <c r="Q486" t="inlineStr">
        <is>
          <t>Infectious disease and therapy ; v. 8</t>
        </is>
      </c>
      <c r="R486" t="inlineStr">
        <is>
          <t xml:space="preserve">QV </t>
        </is>
      </c>
      <c r="S486" t="n">
        <v>5</v>
      </c>
      <c r="T486" t="n">
        <v>5</v>
      </c>
      <c r="U486" t="inlineStr">
        <is>
          <t>2006-09-30</t>
        </is>
      </c>
      <c r="V486" t="inlineStr">
        <is>
          <t>2006-09-30</t>
        </is>
      </c>
      <c r="W486" t="inlineStr">
        <is>
          <t>1993-08-31</t>
        </is>
      </c>
      <c r="X486" t="inlineStr">
        <is>
          <t>1993-08-31</t>
        </is>
      </c>
      <c r="Y486" t="n">
        <v>69</v>
      </c>
      <c r="Z486" t="n">
        <v>51</v>
      </c>
      <c r="AA486" t="n">
        <v>51</v>
      </c>
      <c r="AB486" t="n">
        <v>1</v>
      </c>
      <c r="AC486" t="n">
        <v>1</v>
      </c>
      <c r="AD486" t="n">
        <v>1</v>
      </c>
      <c r="AE486" t="n">
        <v>1</v>
      </c>
      <c r="AF486" t="n">
        <v>0</v>
      </c>
      <c r="AG486" t="n">
        <v>0</v>
      </c>
      <c r="AH486" t="n">
        <v>1</v>
      </c>
      <c r="AI486" t="n">
        <v>1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HYPERLINK("https://creighton-primo.hosted.exlibrisgroup.com/primo-explore/search?tab=default_tab&amp;search_scope=EVERYTHING&amp;vid=01CRU&amp;lang=en_US&amp;offset=0&amp;query=any,contains,991001511019702656","Catalog Record")</f>
        <v/>
      </c>
      <c r="AT486">
        <f>HYPERLINK("http://www.worldcat.org/oclc/27173247","WorldCat Record")</f>
        <v/>
      </c>
    </row>
    <row r="487">
      <c r="A487" t="inlineStr">
        <is>
          <t>No</t>
        </is>
      </c>
      <c r="B487" t="inlineStr">
        <is>
          <t>QV 250 P888c 1946</t>
        </is>
      </c>
      <c r="C487" t="inlineStr">
        <is>
          <t>0                      QV 0250000P  888c        1946</t>
        </is>
      </c>
      <c r="D487" t="inlineStr">
        <is>
          <t>Chemotherapy / edited by Wendell H. Powers.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New York : Reinhold, 1946.</t>
        </is>
      </c>
      <c r="M487" t="inlineStr">
        <is>
          <t>1946</t>
        </is>
      </c>
      <c r="O487" t="inlineStr">
        <is>
          <t>eng</t>
        </is>
      </c>
      <c r="P487" t="inlineStr">
        <is>
          <t>nyu</t>
        </is>
      </c>
      <c r="Q487" t="inlineStr">
        <is>
          <t>Advancing fronts in chemistry ; vol. 2</t>
        </is>
      </c>
      <c r="R487" t="inlineStr">
        <is>
          <t xml:space="preserve">QV </t>
        </is>
      </c>
      <c r="S487" t="n">
        <v>2</v>
      </c>
      <c r="T487" t="n">
        <v>2</v>
      </c>
      <c r="U487" t="inlineStr">
        <is>
          <t>1999-01-25</t>
        </is>
      </c>
      <c r="V487" t="inlineStr">
        <is>
          <t>1999-01-25</t>
        </is>
      </c>
      <c r="W487" t="inlineStr">
        <is>
          <t>1988-03-24</t>
        </is>
      </c>
      <c r="X487" t="inlineStr">
        <is>
          <t>1988-03-24</t>
        </is>
      </c>
      <c r="Y487" t="n">
        <v>30</v>
      </c>
      <c r="Z487" t="n">
        <v>17</v>
      </c>
      <c r="AA487" t="n">
        <v>19</v>
      </c>
      <c r="AB487" t="n">
        <v>1</v>
      </c>
      <c r="AC487" t="n">
        <v>1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R487">
        <f>HYPERLINK("http://catalog.hathitrust.org/Record/002074937","HathiTrust Record")</f>
        <v/>
      </c>
      <c r="AS487">
        <f>HYPERLINK("https://creighton-primo.hosted.exlibrisgroup.com/primo-explore/search?tab=default_tab&amp;search_scope=EVERYTHING&amp;vid=01CRU&amp;lang=en_US&amp;offset=0&amp;query=any,contains,991000960579702656","Catalog Record")</f>
        <v/>
      </c>
      <c r="AT487">
        <f>HYPERLINK("http://www.worldcat.org/oclc/14728800","WorldCat Record")</f>
        <v/>
      </c>
    </row>
    <row r="488">
      <c r="A488" t="inlineStr">
        <is>
          <t>No</t>
        </is>
      </c>
      <c r="B488" t="inlineStr">
        <is>
          <t>QV 250 P917a 1986</t>
        </is>
      </c>
      <c r="C488" t="inlineStr">
        <is>
          <t>0                      QV 0250000P  917a        1986</t>
        </is>
      </c>
      <c r="D488" t="inlineStr">
        <is>
          <t>The antimicrobial drugs / William B. Pratt, Robert Fekety.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1</t>
        </is>
      </c>
      <c r="K488" t="inlineStr">
        <is>
          <t>Pratt, William B., 1938-</t>
        </is>
      </c>
      <c r="L488" t="inlineStr">
        <is>
          <t>New York : Oxford University Press, c1986.</t>
        </is>
      </c>
      <c r="M488" t="inlineStr">
        <is>
          <t>1986</t>
        </is>
      </c>
      <c r="O488" t="inlineStr">
        <is>
          <t>eng</t>
        </is>
      </c>
      <c r="P488" t="inlineStr">
        <is>
          <t>xxu</t>
        </is>
      </c>
      <c r="R488" t="inlineStr">
        <is>
          <t xml:space="preserve">QV </t>
        </is>
      </c>
      <c r="S488" t="n">
        <v>4</v>
      </c>
      <c r="T488" t="n">
        <v>4</v>
      </c>
      <c r="U488" t="inlineStr">
        <is>
          <t>1994-02-28</t>
        </is>
      </c>
      <c r="V488" t="inlineStr">
        <is>
          <t>1994-02-28</t>
        </is>
      </c>
      <c r="W488" t="inlineStr">
        <is>
          <t>1988-08-30</t>
        </is>
      </c>
      <c r="X488" t="inlineStr">
        <is>
          <t>1988-08-30</t>
        </is>
      </c>
      <c r="Y488" t="n">
        <v>200</v>
      </c>
      <c r="Z488" t="n">
        <v>133</v>
      </c>
      <c r="AA488" t="n">
        <v>880</v>
      </c>
      <c r="AB488" t="n">
        <v>1</v>
      </c>
      <c r="AC488" t="n">
        <v>15</v>
      </c>
      <c r="AD488" t="n">
        <v>3</v>
      </c>
      <c r="AE488" t="n">
        <v>34</v>
      </c>
      <c r="AF488" t="n">
        <v>0</v>
      </c>
      <c r="AG488" t="n">
        <v>8</v>
      </c>
      <c r="AH488" t="n">
        <v>1</v>
      </c>
      <c r="AI488" t="n">
        <v>7</v>
      </c>
      <c r="AJ488" t="n">
        <v>2</v>
      </c>
      <c r="AK488" t="n">
        <v>9</v>
      </c>
      <c r="AL488" t="n">
        <v>0</v>
      </c>
      <c r="AM488" t="n">
        <v>13</v>
      </c>
      <c r="AN488" t="n">
        <v>0</v>
      </c>
      <c r="AO488" t="n">
        <v>1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HYPERLINK("http://catalog.hathitrust.org/Record/000426794","HathiTrust Record")</f>
        <v/>
      </c>
      <c r="AS488">
        <f>HYPERLINK("https://creighton-primo.hosted.exlibrisgroup.com/primo-explore/search?tab=default_tab&amp;search_scope=EVERYTHING&amp;vid=01CRU&amp;lang=en_US&amp;offset=0&amp;query=any,contains,991001423329702656","Catalog Record")</f>
        <v/>
      </c>
      <c r="AT488">
        <f>HYPERLINK("http://www.worldcat.org/oclc/11649516","WorldCat Record")</f>
        <v/>
      </c>
    </row>
    <row r="489">
      <c r="A489" t="inlineStr">
        <is>
          <t>No</t>
        </is>
      </c>
      <c r="B489" t="inlineStr">
        <is>
          <t>QV 250 Q68 1998</t>
        </is>
      </c>
      <c r="C489" t="inlineStr">
        <is>
          <t>0                      QV 0250000Q  68          1998</t>
        </is>
      </c>
      <c r="D489" t="inlineStr">
        <is>
          <t>The quinolones / edited by Vincent T. Andriole.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L489" t="inlineStr">
        <is>
          <t>San Diego : Academic Press, c1998.</t>
        </is>
      </c>
      <c r="M489" t="inlineStr">
        <is>
          <t>1998</t>
        </is>
      </c>
      <c r="N489" t="inlineStr">
        <is>
          <t>2nd ed.</t>
        </is>
      </c>
      <c r="O489" t="inlineStr">
        <is>
          <t>eng</t>
        </is>
      </c>
      <c r="P489" t="inlineStr">
        <is>
          <t>cau</t>
        </is>
      </c>
      <c r="R489" t="inlineStr">
        <is>
          <t xml:space="preserve">QV </t>
        </is>
      </c>
      <c r="S489" t="n">
        <v>1</v>
      </c>
      <c r="T489" t="n">
        <v>1</v>
      </c>
      <c r="U489" t="inlineStr">
        <is>
          <t>2010-02-19</t>
        </is>
      </c>
      <c r="V489" t="inlineStr">
        <is>
          <t>2010-02-19</t>
        </is>
      </c>
      <c r="W489" t="inlineStr">
        <is>
          <t>1999-07-23</t>
        </is>
      </c>
      <c r="X489" t="inlineStr">
        <is>
          <t>1999-07-23</t>
        </is>
      </c>
      <c r="Y489" t="n">
        <v>120</v>
      </c>
      <c r="Z489" t="n">
        <v>88</v>
      </c>
      <c r="AA489" t="n">
        <v>256</v>
      </c>
      <c r="AB489" t="n">
        <v>1</v>
      </c>
      <c r="AC489" t="n">
        <v>1</v>
      </c>
      <c r="AD489" t="n">
        <v>1</v>
      </c>
      <c r="AE489" t="n">
        <v>8</v>
      </c>
      <c r="AF489" t="n">
        <v>0</v>
      </c>
      <c r="AG489" t="n">
        <v>4</v>
      </c>
      <c r="AH489" t="n">
        <v>1</v>
      </c>
      <c r="AI489" t="n">
        <v>4</v>
      </c>
      <c r="AJ489" t="n">
        <v>0</v>
      </c>
      <c r="AK489" t="n">
        <v>1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HYPERLINK("http://catalog.hathitrust.org/Record/003252836","HathiTrust Record")</f>
        <v/>
      </c>
      <c r="AS489">
        <f>HYPERLINK("https://creighton-primo.hosted.exlibrisgroup.com/primo-explore/search?tab=default_tab&amp;search_scope=EVERYTHING&amp;vid=01CRU&amp;lang=en_US&amp;offset=0&amp;query=any,contains,991001565419702656","Catalog Record")</f>
        <v/>
      </c>
      <c r="AT489">
        <f>HYPERLINK("http://www.worldcat.org/oclc/38750587","WorldCat Record")</f>
        <v/>
      </c>
    </row>
    <row r="490">
      <c r="A490" t="inlineStr">
        <is>
          <t>No</t>
        </is>
      </c>
      <c r="B490" t="inlineStr">
        <is>
          <t>QV 250 S713a 1992</t>
        </is>
      </c>
      <c r="C490" t="inlineStr">
        <is>
          <t>0                      QV 0250000S  713a        1992</t>
        </is>
      </c>
      <c r="D490" t="inlineStr">
        <is>
          <t>Antimicrobial agents teaching module / Alfred F. Sorbello.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Sorbello, Alfred F.</t>
        </is>
      </c>
      <c r="L490" t="inlineStr">
        <is>
          <t>Chapel Hill, NC : Health Sciences Consortium, c1992.</t>
        </is>
      </c>
      <c r="M490" t="inlineStr">
        <is>
          <t>1992</t>
        </is>
      </c>
      <c r="O490" t="inlineStr">
        <is>
          <t>eng</t>
        </is>
      </c>
      <c r="P490" t="inlineStr">
        <is>
          <t>ncu</t>
        </is>
      </c>
      <c r="R490" t="inlineStr">
        <is>
          <t xml:space="preserve">QV </t>
        </is>
      </c>
      <c r="S490" t="n">
        <v>3</v>
      </c>
      <c r="T490" t="n">
        <v>3</v>
      </c>
      <c r="U490" t="inlineStr">
        <is>
          <t>1994-11-30</t>
        </is>
      </c>
      <c r="V490" t="inlineStr">
        <is>
          <t>1994-11-30</t>
        </is>
      </c>
      <c r="W490" t="inlineStr">
        <is>
          <t>1994-11-22</t>
        </is>
      </c>
      <c r="X490" t="inlineStr">
        <is>
          <t>1994-11-22</t>
        </is>
      </c>
      <c r="Y490" t="n">
        <v>4</v>
      </c>
      <c r="Z490" t="n">
        <v>4</v>
      </c>
      <c r="AA490" t="n">
        <v>4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HYPERLINK("https://creighton-primo.hosted.exlibrisgroup.com/primo-explore/search?tab=default_tab&amp;search_scope=EVERYTHING&amp;vid=01CRU&amp;lang=en_US&amp;offset=0&amp;query=any,contains,991000275539702656","Catalog Record")</f>
        <v/>
      </c>
      <c r="AT490">
        <f>HYPERLINK("http://www.worldcat.org/oclc/32297708","WorldCat Record")</f>
        <v/>
      </c>
    </row>
    <row r="491">
      <c r="A491" t="inlineStr">
        <is>
          <t>No</t>
        </is>
      </c>
      <c r="B491" t="inlineStr">
        <is>
          <t>QV268.5 A139a 1988</t>
        </is>
      </c>
      <c r="C491" t="inlineStr">
        <is>
          <t>0                      QV 0268500A  139a        1988</t>
        </is>
      </c>
      <c r="D491" t="inlineStr">
        <is>
          <t>Anti varicella-zoster activity of 2HM-HBG, a new acyclic guanosin analog / by Gunnar Abele.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Abele, Gunnar.</t>
        </is>
      </c>
      <c r="L491" t="inlineStr">
        <is>
          <t>Stockholm : Kongl. Carolinska Medico Chirurgiska Institutet, c1988.</t>
        </is>
      </c>
      <c r="M491" t="inlineStr">
        <is>
          <t>1988</t>
        </is>
      </c>
      <c r="O491" t="inlineStr">
        <is>
          <t>eng</t>
        </is>
      </c>
      <c r="P491" t="inlineStr">
        <is>
          <t xml:space="preserve">sw </t>
        </is>
      </c>
      <c r="R491" t="inlineStr">
        <is>
          <t xml:space="preserve">QV </t>
        </is>
      </c>
      <c r="S491" t="n">
        <v>0</v>
      </c>
      <c r="T491" t="n">
        <v>0</v>
      </c>
      <c r="U491" t="inlineStr">
        <is>
          <t>2002-04-25</t>
        </is>
      </c>
      <c r="V491" t="inlineStr">
        <is>
          <t>2002-04-25</t>
        </is>
      </c>
      <c r="W491" t="inlineStr">
        <is>
          <t>1989-05-13</t>
        </is>
      </c>
      <c r="X491" t="inlineStr">
        <is>
          <t>1989-05-13</t>
        </is>
      </c>
      <c r="Y491" t="n">
        <v>12</v>
      </c>
      <c r="Z491" t="n">
        <v>9</v>
      </c>
      <c r="AA491" t="n">
        <v>11</v>
      </c>
      <c r="AB491" t="n">
        <v>1</v>
      </c>
      <c r="AC491" t="n">
        <v>1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1</v>
      </c>
      <c r="AL491" t="n">
        <v>0</v>
      </c>
      <c r="AM491" t="n">
        <v>0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HYPERLINK("http://catalog.hathitrust.org/Record/003950017","HathiTrust Record")</f>
        <v/>
      </c>
      <c r="AS491">
        <f>HYPERLINK("https://creighton-primo.hosted.exlibrisgroup.com/primo-explore/search?tab=default_tab&amp;search_scope=EVERYTHING&amp;vid=01CRU&amp;lang=en_US&amp;offset=0&amp;query=any,contains,991001244329702656","Catalog Record")</f>
        <v/>
      </c>
      <c r="AT491">
        <f>HYPERLINK("http://www.worldcat.org/oclc/19412466","WorldCat Record")</f>
        <v/>
      </c>
    </row>
    <row r="492">
      <c r="A492" t="inlineStr">
        <is>
          <t>No</t>
        </is>
      </c>
      <c r="B492" t="inlineStr">
        <is>
          <t>QV 268.5 A6325 1988</t>
        </is>
      </c>
      <c r="C492" t="inlineStr">
        <is>
          <t>0                      QV 0268500A  6325        1988</t>
        </is>
      </c>
      <c r="D492" t="inlineStr">
        <is>
          <t>Antiviral agents : the development and assessment of antiviral chemotherapy / editor, Hugh J. Field.</t>
        </is>
      </c>
      <c r="E492" t="inlineStr">
        <is>
          <t>V. 2</t>
        </is>
      </c>
      <c r="F492" t="inlineStr">
        <is>
          <t>Yes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Boca Raton, Fla. : CRC Press, c1988.</t>
        </is>
      </c>
      <c r="M492" t="inlineStr">
        <is>
          <t>1988</t>
        </is>
      </c>
      <c r="O492" t="inlineStr">
        <is>
          <t>eng</t>
        </is>
      </c>
      <c r="P492" t="inlineStr">
        <is>
          <t>xxu</t>
        </is>
      </c>
      <c r="R492" t="inlineStr">
        <is>
          <t xml:space="preserve">QV </t>
        </is>
      </c>
      <c r="S492" t="n">
        <v>4</v>
      </c>
      <c r="T492" t="n">
        <v>9</v>
      </c>
      <c r="U492" t="inlineStr">
        <is>
          <t>1999-07-26</t>
        </is>
      </c>
      <c r="V492" t="inlineStr">
        <is>
          <t>1999-07-26</t>
        </is>
      </c>
      <c r="W492" t="inlineStr">
        <is>
          <t>1988-07-08</t>
        </is>
      </c>
      <c r="X492" t="inlineStr">
        <is>
          <t>1988-07-08</t>
        </is>
      </c>
      <c r="Y492" t="n">
        <v>117</v>
      </c>
      <c r="Z492" t="n">
        <v>87</v>
      </c>
      <c r="AA492" t="n">
        <v>89</v>
      </c>
      <c r="AB492" t="n">
        <v>1</v>
      </c>
      <c r="AC492" t="n">
        <v>1</v>
      </c>
      <c r="AD492" t="n">
        <v>1</v>
      </c>
      <c r="AE492" t="n">
        <v>1</v>
      </c>
      <c r="AF492" t="n">
        <v>1</v>
      </c>
      <c r="AG492" t="n">
        <v>1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HYPERLINK("http://catalog.hathitrust.org/Record/000875059","HathiTrust Record")</f>
        <v/>
      </c>
      <c r="AS492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T492">
        <f>HYPERLINK("http://www.worldcat.org/oclc/15520654","WorldCat Record")</f>
        <v/>
      </c>
    </row>
    <row r="493">
      <c r="A493" t="inlineStr">
        <is>
          <t>No</t>
        </is>
      </c>
      <c r="B493" t="inlineStr">
        <is>
          <t>QV 268.5 A6325 1988</t>
        </is>
      </c>
      <c r="C493" t="inlineStr">
        <is>
          <t>0                      QV 0268500A  6325        1988</t>
        </is>
      </c>
      <c r="D493" t="inlineStr">
        <is>
          <t>Antiviral agents : the development and assessment of antiviral chemotherapy / editor, Hugh J. Field.</t>
        </is>
      </c>
      <c r="E493" t="inlineStr">
        <is>
          <t>V. 1</t>
        </is>
      </c>
      <c r="F493" t="inlineStr">
        <is>
          <t>Yes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Boca Raton, Fla. : CRC Press, c1988.</t>
        </is>
      </c>
      <c r="M493" t="inlineStr">
        <is>
          <t>1988</t>
        </is>
      </c>
      <c r="O493" t="inlineStr">
        <is>
          <t>eng</t>
        </is>
      </c>
      <c r="P493" t="inlineStr">
        <is>
          <t>xxu</t>
        </is>
      </c>
      <c r="R493" t="inlineStr">
        <is>
          <t xml:space="preserve">QV </t>
        </is>
      </c>
      <c r="S493" t="n">
        <v>5</v>
      </c>
      <c r="T493" t="n">
        <v>9</v>
      </c>
      <c r="U493" t="inlineStr">
        <is>
          <t>1999-07-26</t>
        </is>
      </c>
      <c r="V493" t="inlineStr">
        <is>
          <t>1999-07-26</t>
        </is>
      </c>
      <c r="W493" t="inlineStr">
        <is>
          <t>1988-07-08</t>
        </is>
      </c>
      <c r="X493" t="inlineStr">
        <is>
          <t>1988-07-08</t>
        </is>
      </c>
      <c r="Y493" t="n">
        <v>117</v>
      </c>
      <c r="Z493" t="n">
        <v>87</v>
      </c>
      <c r="AA493" t="n">
        <v>89</v>
      </c>
      <c r="AB493" t="n">
        <v>1</v>
      </c>
      <c r="AC493" t="n">
        <v>1</v>
      </c>
      <c r="AD493" t="n">
        <v>1</v>
      </c>
      <c r="AE493" t="n">
        <v>1</v>
      </c>
      <c r="AF493" t="n">
        <v>1</v>
      </c>
      <c r="AG493" t="n">
        <v>1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HYPERLINK("http://catalog.hathitrust.org/Record/000875059","HathiTrust Record")</f>
        <v/>
      </c>
      <c r="AS493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T493">
        <f>HYPERLINK("http://www.worldcat.org/oclc/15520654","WorldCat Record")</f>
        <v/>
      </c>
    </row>
    <row r="494">
      <c r="A494" t="inlineStr">
        <is>
          <t>No</t>
        </is>
      </c>
      <c r="B494" t="inlineStr">
        <is>
          <t>QV 268.5 C517 1982</t>
        </is>
      </c>
      <c r="C494" t="inlineStr">
        <is>
          <t>0                      QV 0268500C  517         1982</t>
        </is>
      </c>
      <c r="D494" t="inlineStr">
        <is>
          <t>Chemotherapy of viral infections / editors, Paul E. Came and Lawrence A. Caliguiri.</t>
        </is>
      </c>
      <c r="E494" t="inlineStr">
        <is>
          <t>V. 61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L494" t="inlineStr">
        <is>
          <t>Berlin ; New York : Springer-Verlag, c1982.</t>
        </is>
      </c>
      <c r="M494" t="inlineStr">
        <is>
          <t>1982</t>
        </is>
      </c>
      <c r="O494" t="inlineStr">
        <is>
          <t>eng</t>
        </is>
      </c>
      <c r="P494" t="inlineStr">
        <is>
          <t xml:space="preserve">gw </t>
        </is>
      </c>
      <c r="Q494" t="inlineStr">
        <is>
          <t>Handbook of experimental pharmacology ; v. 61</t>
        </is>
      </c>
      <c r="R494" t="inlineStr">
        <is>
          <t xml:space="preserve">QV </t>
        </is>
      </c>
      <c r="S494" t="n">
        <v>3</v>
      </c>
      <c r="T494" t="n">
        <v>3</v>
      </c>
      <c r="U494" t="inlineStr">
        <is>
          <t>1995-12-16</t>
        </is>
      </c>
      <c r="V494" t="inlineStr">
        <is>
          <t>1995-12-16</t>
        </is>
      </c>
      <c r="W494" t="inlineStr">
        <is>
          <t>1988-02-09</t>
        </is>
      </c>
      <c r="X494" t="inlineStr">
        <is>
          <t>1988-02-09</t>
        </is>
      </c>
      <c r="Y494" t="n">
        <v>181</v>
      </c>
      <c r="Z494" t="n">
        <v>110</v>
      </c>
      <c r="AA494" t="n">
        <v>113</v>
      </c>
      <c r="AB494" t="n">
        <v>1</v>
      </c>
      <c r="AC494" t="n">
        <v>1</v>
      </c>
      <c r="AD494" t="n">
        <v>2</v>
      </c>
      <c r="AE494" t="n">
        <v>2</v>
      </c>
      <c r="AF494" t="n">
        <v>0</v>
      </c>
      <c r="AG494" t="n">
        <v>0</v>
      </c>
      <c r="AH494" t="n">
        <v>2</v>
      </c>
      <c r="AI494" t="n">
        <v>2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HYPERLINK("http://catalog.hathitrust.org/Record/000767926","HathiTrust Record")</f>
        <v/>
      </c>
      <c r="AS494">
        <f>HYPERLINK("https://creighton-primo.hosted.exlibrisgroup.com/primo-explore/search?tab=default_tab&amp;search_scope=EVERYTHING&amp;vid=01CRU&amp;lang=en_US&amp;offset=0&amp;query=any,contains,991000960419702656","Catalog Record")</f>
        <v/>
      </c>
      <c r="AT494">
        <f>HYPERLINK("http://www.worldcat.org/oclc/8132563","WorldCat Record")</f>
        <v/>
      </c>
    </row>
    <row r="495">
      <c r="A495" t="inlineStr">
        <is>
          <t>No</t>
        </is>
      </c>
      <c r="B495" t="inlineStr">
        <is>
          <t>QV 268.5 D457 1990</t>
        </is>
      </c>
      <c r="C495" t="inlineStr">
        <is>
          <t>0                      QV 0268500D  457         1990</t>
        </is>
      </c>
      <c r="D495" t="inlineStr">
        <is>
          <t>Design of anti-AIDS drugs / edited by E. De Clercq with the editorial assistance of C. Callebaut.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Amsterdam ; New York : Elsevier ; New York, NY, U.S.A. : Distributors for the U.S. and Canada, Elsevier Science Pub. Co., c1990.</t>
        </is>
      </c>
      <c r="M495" t="inlineStr">
        <is>
          <t>1990</t>
        </is>
      </c>
      <c r="O495" t="inlineStr">
        <is>
          <t>eng</t>
        </is>
      </c>
      <c r="P495" t="inlineStr">
        <is>
          <t xml:space="preserve">ne </t>
        </is>
      </c>
      <c r="Q495" t="inlineStr">
        <is>
          <t>Pharmacochemistry library ; v. 14</t>
        </is>
      </c>
      <c r="R495" t="inlineStr">
        <is>
          <t xml:space="preserve">QV </t>
        </is>
      </c>
      <c r="S495" t="n">
        <v>4</v>
      </c>
      <c r="T495" t="n">
        <v>4</v>
      </c>
      <c r="U495" t="inlineStr">
        <is>
          <t>1998-06-02</t>
        </is>
      </c>
      <c r="V495" t="inlineStr">
        <is>
          <t>1998-06-02</t>
        </is>
      </c>
      <c r="W495" t="inlineStr">
        <is>
          <t>1991-01-29</t>
        </is>
      </c>
      <c r="X495" t="inlineStr">
        <is>
          <t>1991-01-29</t>
        </is>
      </c>
      <c r="Y495" t="n">
        <v>109</v>
      </c>
      <c r="Z495" t="n">
        <v>71</v>
      </c>
      <c r="AA495" t="n">
        <v>73</v>
      </c>
      <c r="AB495" t="n">
        <v>1</v>
      </c>
      <c r="AC495" t="n">
        <v>1</v>
      </c>
      <c r="AD495" t="n">
        <v>1</v>
      </c>
      <c r="AE495" t="n">
        <v>1</v>
      </c>
      <c r="AF495" t="n">
        <v>0</v>
      </c>
      <c r="AG495" t="n">
        <v>0</v>
      </c>
      <c r="AH495" t="n">
        <v>1</v>
      </c>
      <c r="AI495" t="n">
        <v>1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HYPERLINK("http://catalog.hathitrust.org/Record/002233577","HathiTrust Record")</f>
        <v/>
      </c>
      <c r="AS495">
        <f>HYPERLINK("https://creighton-primo.hosted.exlibrisgroup.com/primo-explore/search?tab=default_tab&amp;search_scope=EVERYTHING&amp;vid=01CRU&amp;lang=en_US&amp;offset=0&amp;query=any,contains,991000816339702656","Catalog Record")</f>
        <v/>
      </c>
      <c r="AT495">
        <f>HYPERLINK("http://www.worldcat.org/oclc/22005487","WorldCat Record")</f>
        <v/>
      </c>
    </row>
    <row r="496">
      <c r="A496" t="inlineStr">
        <is>
          <t>No</t>
        </is>
      </c>
      <c r="B496" t="inlineStr">
        <is>
          <t>QV 269 C264 1990</t>
        </is>
      </c>
      <c r="C496" t="inlineStr">
        <is>
          <t>0                      QV 0269000C  264         1990</t>
        </is>
      </c>
      <c r="D496" t="inlineStr">
        <is>
          <t>Carboplatin (JM-8) : current perspectives and future directions / Editors: Paul A. Bunn, Jr. ... [et al.].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Philadelphia : Saunders, c1990.</t>
        </is>
      </c>
      <c r="M496" t="inlineStr">
        <is>
          <t>1990</t>
        </is>
      </c>
      <c r="N496" t="inlineStr">
        <is>
          <t>1st ed.</t>
        </is>
      </c>
      <c r="O496" t="inlineStr">
        <is>
          <t>eng</t>
        </is>
      </c>
      <c r="P496" t="inlineStr">
        <is>
          <t>pau</t>
        </is>
      </c>
      <c r="R496" t="inlineStr">
        <is>
          <t xml:space="preserve">QV </t>
        </is>
      </c>
      <c r="S496" t="n">
        <v>1</v>
      </c>
      <c r="T496" t="n">
        <v>1</v>
      </c>
      <c r="U496" t="inlineStr">
        <is>
          <t>1990-10-23</t>
        </is>
      </c>
      <c r="V496" t="inlineStr">
        <is>
          <t>1990-10-23</t>
        </is>
      </c>
      <c r="W496" t="inlineStr">
        <is>
          <t>1990-10-23</t>
        </is>
      </c>
      <c r="X496" t="inlineStr">
        <is>
          <t>1990-10-23</t>
        </is>
      </c>
      <c r="Y496" t="n">
        <v>54</v>
      </c>
      <c r="Z496" t="n">
        <v>46</v>
      </c>
      <c r="AA496" t="n">
        <v>48</v>
      </c>
      <c r="AB496" t="n">
        <v>1</v>
      </c>
      <c r="AC496" t="n">
        <v>1</v>
      </c>
      <c r="AD496" t="n">
        <v>1</v>
      </c>
      <c r="AE496" t="n">
        <v>1</v>
      </c>
      <c r="AF496" t="n">
        <v>0</v>
      </c>
      <c r="AG496" t="n">
        <v>0</v>
      </c>
      <c r="AH496" t="n">
        <v>1</v>
      </c>
      <c r="AI496" t="n">
        <v>1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HYPERLINK("http://catalog.hathitrust.org/Record/003253660","HathiTrust Record")</f>
        <v/>
      </c>
      <c r="AS496">
        <f>HYPERLINK("https://creighton-primo.hosted.exlibrisgroup.com/primo-explore/search?tab=default_tab&amp;search_scope=EVERYTHING&amp;vid=01CRU&amp;lang=en_US&amp;offset=0&amp;query=any,contains,991000770859702656","Catalog Record")</f>
        <v/>
      </c>
      <c r="AT496">
        <f>HYPERLINK("http://www.worldcat.org/oclc/22372109","WorldCat Record")</f>
        <v/>
      </c>
    </row>
    <row r="497">
      <c r="A497" t="inlineStr">
        <is>
          <t>No</t>
        </is>
      </c>
      <c r="B497" t="inlineStr">
        <is>
          <t>QV 269 G394f 2008</t>
        </is>
      </c>
      <c r="C497" t="inlineStr">
        <is>
          <t>0                      QV 0269000G  394f        2008</t>
        </is>
      </c>
      <c r="D497" t="inlineStr">
        <is>
          <t>Free radicals effect on cytostatica, vitamins, hormones and phytocompounds with respect to cancer : an introduction to molecular radiation biology / Nikola Getoff.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Getoff, Nikola, 1922-</t>
        </is>
      </c>
      <c r="L497" t="inlineStr">
        <is>
          <t>New York : Nova Science Publishers, c2008.</t>
        </is>
      </c>
      <c r="M497" t="inlineStr">
        <is>
          <t>2008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QV </t>
        </is>
      </c>
      <c r="S497" t="n">
        <v>0</v>
      </c>
      <c r="T497" t="n">
        <v>0</v>
      </c>
      <c r="U497" t="inlineStr">
        <is>
          <t>2009-05-21</t>
        </is>
      </c>
      <c r="V497" t="inlineStr">
        <is>
          <t>2009-05-21</t>
        </is>
      </c>
      <c r="W497" t="inlineStr">
        <is>
          <t>2009-05-21</t>
        </is>
      </c>
      <c r="X497" t="inlineStr">
        <is>
          <t>2009-05-21</t>
        </is>
      </c>
      <c r="Y497" t="n">
        <v>23</v>
      </c>
      <c r="Z497" t="n">
        <v>16</v>
      </c>
      <c r="AA497" t="n">
        <v>16</v>
      </c>
      <c r="AB497" t="n">
        <v>1</v>
      </c>
      <c r="AC497" t="n">
        <v>1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HYPERLINK("https://creighton-primo.hosted.exlibrisgroup.com/primo-explore/search?tab=default_tab&amp;search_scope=EVERYTHING&amp;vid=01CRU&amp;lang=en_US&amp;offset=0&amp;query=any,contains,991001462009702656","Catalog Record")</f>
        <v/>
      </c>
      <c r="AT497">
        <f>HYPERLINK("http://www.worldcat.org/oclc/221220296","WorldCat Record")</f>
        <v/>
      </c>
    </row>
    <row r="498">
      <c r="A498" t="inlineStr">
        <is>
          <t>No</t>
        </is>
      </c>
      <c r="B498" t="inlineStr">
        <is>
          <t>QV 269 M489n 1981</t>
        </is>
      </c>
      <c r="C498" t="inlineStr">
        <is>
          <t>0                      QV 0269000M  489n        1981</t>
        </is>
      </c>
      <c r="D498" t="inlineStr">
        <is>
          <t>New approaches to the design of antineoplastic agents : proceedings of the Twenty-second Annual Medicinal Chemistry Symposium, Amherst, New York, U.S.A., May 18-20, 1981 / editors, Thomas J. Bardos and Thomas I. Kalman.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Medicinal Chemistry Symposium (22nd : 1981 : Amherst, N.Y.)</t>
        </is>
      </c>
      <c r="L498" t="inlineStr">
        <is>
          <t>New York : Elsevier Biomedical, c1982.</t>
        </is>
      </c>
      <c r="M498" t="inlineStr">
        <is>
          <t>1982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QV </t>
        </is>
      </c>
      <c r="S498" t="n">
        <v>2</v>
      </c>
      <c r="T498" t="n">
        <v>2</v>
      </c>
      <c r="U498" t="inlineStr">
        <is>
          <t>1996-11-30</t>
        </is>
      </c>
      <c r="V498" t="inlineStr">
        <is>
          <t>1996-11-30</t>
        </is>
      </c>
      <c r="W498" t="inlineStr">
        <is>
          <t>1988-02-09</t>
        </is>
      </c>
      <c r="X498" t="inlineStr">
        <is>
          <t>1988-02-09</t>
        </is>
      </c>
      <c r="Y498" t="n">
        <v>98</v>
      </c>
      <c r="Z498" t="n">
        <v>73</v>
      </c>
      <c r="AA498" t="n">
        <v>75</v>
      </c>
      <c r="AB498" t="n">
        <v>1</v>
      </c>
      <c r="AC498" t="n">
        <v>1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0</v>
      </c>
      <c r="AM498" t="n">
        <v>0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HYPERLINK("http://catalog.hathitrust.org/Record/000319459","HathiTrust Record")</f>
        <v/>
      </c>
      <c r="AS498">
        <f>HYPERLINK("https://creighton-primo.hosted.exlibrisgroup.com/primo-explore/search?tab=default_tab&amp;search_scope=EVERYTHING&amp;vid=01CRU&amp;lang=en_US&amp;offset=0&amp;query=any,contains,991000960339702656","Catalog Record")</f>
        <v/>
      </c>
      <c r="AT498">
        <f>HYPERLINK("http://www.worldcat.org/oclc/8533462","WorldCat Record")</f>
        <v/>
      </c>
    </row>
    <row r="499">
      <c r="A499" t="inlineStr">
        <is>
          <t>No</t>
        </is>
      </c>
      <c r="B499" t="inlineStr">
        <is>
          <t>QV 269 N53167 1992</t>
        </is>
      </c>
      <c r="C499" t="inlineStr">
        <is>
          <t>0                      QV 0269000N  53167       1992</t>
        </is>
      </c>
      <c r="D499" t="inlineStr">
        <is>
          <t>New approaches in cancer pharmacology : drug design and development / P. Workman, ed.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L499" t="inlineStr">
        <is>
          <t>Berlin ; New York : Springer-Verlag, c1992.</t>
        </is>
      </c>
      <c r="M499" t="inlineStr">
        <is>
          <t>1992</t>
        </is>
      </c>
      <c r="O499" t="inlineStr">
        <is>
          <t>eng</t>
        </is>
      </c>
      <c r="P499" t="inlineStr">
        <is>
          <t xml:space="preserve">gw </t>
        </is>
      </c>
      <c r="Q499" t="inlineStr">
        <is>
          <t>Monographs (European School of Oncology)</t>
        </is>
      </c>
      <c r="R499" t="inlineStr">
        <is>
          <t xml:space="preserve">QV </t>
        </is>
      </c>
      <c r="S499" t="n">
        <v>3</v>
      </c>
      <c r="T499" t="n">
        <v>3</v>
      </c>
      <c r="U499" t="inlineStr">
        <is>
          <t>1993-10-12</t>
        </is>
      </c>
      <c r="V499" t="inlineStr">
        <is>
          <t>1993-10-12</t>
        </is>
      </c>
      <c r="W499" t="inlineStr">
        <is>
          <t>1993-08-31</t>
        </is>
      </c>
      <c r="X499" t="inlineStr">
        <is>
          <t>1993-08-31</t>
        </is>
      </c>
      <c r="Y499" t="n">
        <v>55</v>
      </c>
      <c r="Z499" t="n">
        <v>42</v>
      </c>
      <c r="AA499" t="n">
        <v>82</v>
      </c>
      <c r="AB499" t="n">
        <v>1</v>
      </c>
      <c r="AC499" t="n">
        <v>1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HYPERLINK("https://creighton-primo.hosted.exlibrisgroup.com/primo-explore/search?tab=default_tab&amp;search_scope=EVERYTHING&amp;vid=01CRU&amp;lang=en_US&amp;offset=0&amp;query=any,contains,991001512589702656","Catalog Record")</f>
        <v/>
      </c>
      <c r="AT499">
        <f>HYPERLINK("http://www.worldcat.org/oclc/26674950","WorldCat Record")</f>
        <v/>
      </c>
    </row>
    <row r="500">
      <c r="A500" t="inlineStr">
        <is>
          <t>No</t>
        </is>
      </c>
      <c r="B500" t="inlineStr">
        <is>
          <t>QV 269 N5323 1991</t>
        </is>
      </c>
      <c r="C500" t="inlineStr">
        <is>
          <t>0                      QV 0269000N  5323        1991</t>
        </is>
      </c>
      <c r="D500" t="inlineStr">
        <is>
          <t>New drugs, concepts, and results in cancer chemotherapy / edited by F.M. Muggia.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L500" t="inlineStr">
        <is>
          <t>Norwell, Mass. : Kluwer Academic Publishers, c1991.</t>
        </is>
      </c>
      <c r="M500" t="inlineStr">
        <is>
          <t>1991</t>
        </is>
      </c>
      <c r="O500" t="inlineStr">
        <is>
          <t>eng</t>
        </is>
      </c>
      <c r="P500" t="inlineStr">
        <is>
          <t>mau</t>
        </is>
      </c>
      <c r="Q500" t="inlineStr">
        <is>
          <t>Cancer treatment and research ; v. 58</t>
        </is>
      </c>
      <c r="R500" t="inlineStr">
        <is>
          <t xml:space="preserve">QV </t>
        </is>
      </c>
      <c r="S500" t="n">
        <v>2</v>
      </c>
      <c r="T500" t="n">
        <v>2</v>
      </c>
      <c r="U500" t="inlineStr">
        <is>
          <t>1992-04-07</t>
        </is>
      </c>
      <c r="V500" t="inlineStr">
        <is>
          <t>1992-04-07</t>
        </is>
      </c>
      <c r="W500" t="inlineStr">
        <is>
          <t>1992-04-07</t>
        </is>
      </c>
      <c r="X500" t="inlineStr">
        <is>
          <t>1992-04-07</t>
        </is>
      </c>
      <c r="Y500" t="n">
        <v>76</v>
      </c>
      <c r="Z500" t="n">
        <v>60</v>
      </c>
      <c r="AA500" t="n">
        <v>86</v>
      </c>
      <c r="AB500" t="n">
        <v>1</v>
      </c>
      <c r="AC500" t="n">
        <v>1</v>
      </c>
      <c r="AD500" t="n">
        <v>1</v>
      </c>
      <c r="AE500" t="n">
        <v>1</v>
      </c>
      <c r="AF500" t="n">
        <v>0</v>
      </c>
      <c r="AG500" t="n">
        <v>0</v>
      </c>
      <c r="AH500" t="n">
        <v>1</v>
      </c>
      <c r="AI500" t="n">
        <v>1</v>
      </c>
      <c r="AJ500" t="n">
        <v>0</v>
      </c>
      <c r="AK500" t="n">
        <v>0</v>
      </c>
      <c r="AL500" t="n">
        <v>0</v>
      </c>
      <c r="AM500" t="n">
        <v>0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HYPERLINK("https://creighton-primo.hosted.exlibrisgroup.com/primo-explore/search?tab=default_tab&amp;search_scope=EVERYTHING&amp;vid=01CRU&amp;lang=en_US&amp;offset=0&amp;query=any,contains,991001301319702656","Catalog Record")</f>
        <v/>
      </c>
      <c r="AT500">
        <f>HYPERLINK("http://www.worldcat.org/oclc/23691473","WorldCat Record")</f>
        <v/>
      </c>
    </row>
    <row r="501">
      <c r="A501" t="inlineStr">
        <is>
          <t>No</t>
        </is>
      </c>
      <c r="B501" t="inlineStr">
        <is>
          <t>QV 269 T755 1991</t>
        </is>
      </c>
      <c r="C501" t="inlineStr">
        <is>
          <t>0                      QV 0269000T  755         1991</t>
        </is>
      </c>
      <c r="D501" t="inlineStr">
        <is>
          <t>The Toxicity of anticancer drugs / edited by Garth Powis, Miles P. Hacker.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New York : Pergamon Press, c1991.</t>
        </is>
      </c>
      <c r="M501" t="inlineStr">
        <is>
          <t>1991</t>
        </is>
      </c>
      <c r="O501" t="inlineStr">
        <is>
          <t>eng</t>
        </is>
      </c>
      <c r="P501" t="inlineStr">
        <is>
          <t>xxu</t>
        </is>
      </c>
      <c r="R501" t="inlineStr">
        <is>
          <t xml:space="preserve">QV </t>
        </is>
      </c>
      <c r="S501" t="n">
        <v>6</v>
      </c>
      <c r="T501" t="n">
        <v>6</v>
      </c>
      <c r="U501" t="inlineStr">
        <is>
          <t>1994-12-14</t>
        </is>
      </c>
      <c r="V501" t="inlineStr">
        <is>
          <t>1994-12-14</t>
        </is>
      </c>
      <c r="W501" t="inlineStr">
        <is>
          <t>1991-09-24</t>
        </is>
      </c>
      <c r="X501" t="inlineStr">
        <is>
          <t>1991-09-24</t>
        </is>
      </c>
      <c r="Y501" t="n">
        <v>154</v>
      </c>
      <c r="Z501" t="n">
        <v>111</v>
      </c>
      <c r="AA501" t="n">
        <v>117</v>
      </c>
      <c r="AB501" t="n">
        <v>1</v>
      </c>
      <c r="AC501" t="n">
        <v>1</v>
      </c>
      <c r="AD501" t="n">
        <v>1</v>
      </c>
      <c r="AE501" t="n">
        <v>1</v>
      </c>
      <c r="AF501" t="n">
        <v>1</v>
      </c>
      <c r="AG501" t="n">
        <v>1</v>
      </c>
      <c r="AH501" t="n">
        <v>1</v>
      </c>
      <c r="AI501" t="n">
        <v>1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inlineStr">
        <is>
          <t>No</t>
        </is>
      </c>
      <c r="AQ501" t="inlineStr">
        <is>
          <t>No</t>
        </is>
      </c>
      <c r="AS501">
        <f>HYPERLINK("https://creighton-primo.hosted.exlibrisgroup.com/primo-explore/search?tab=default_tab&amp;search_scope=EVERYTHING&amp;vid=01CRU&amp;lang=en_US&amp;offset=0&amp;query=any,contains,991001017379702656","Catalog Record")</f>
        <v/>
      </c>
      <c r="AT501">
        <f>HYPERLINK("http://www.worldcat.org/oclc/21444204","WorldCat Record")</f>
        <v/>
      </c>
    </row>
    <row r="502">
      <c r="A502" t="inlineStr">
        <is>
          <t>No</t>
        </is>
      </c>
      <c r="B502" t="inlineStr">
        <is>
          <t>QV 275 B553 1991</t>
        </is>
      </c>
      <c r="C502" t="inlineStr">
        <is>
          <t>0                      QV 0275000B  553         1991</t>
        </is>
      </c>
      <c r="D502" t="inlineStr">
        <is>
          <t>Beryllium : biomedical and environmental aspects / edited by Milton D. Rossman, Otto P. Preuss, Martin B. Powers.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L502" t="inlineStr">
        <is>
          <t>Baltimore : Williams &amp; Wilkins, c1991.</t>
        </is>
      </c>
      <c r="M502" t="inlineStr">
        <is>
          <t>1991</t>
        </is>
      </c>
      <c r="O502" t="inlineStr">
        <is>
          <t>eng</t>
        </is>
      </c>
      <c r="P502" t="inlineStr">
        <is>
          <t>mdu</t>
        </is>
      </c>
      <c r="R502" t="inlineStr">
        <is>
          <t xml:space="preserve">QV </t>
        </is>
      </c>
      <c r="S502" t="n">
        <v>4</v>
      </c>
      <c r="T502" t="n">
        <v>4</v>
      </c>
      <c r="U502" t="inlineStr">
        <is>
          <t>1999-01-25</t>
        </is>
      </c>
      <c r="V502" t="inlineStr">
        <is>
          <t>1999-01-25</t>
        </is>
      </c>
      <c r="W502" t="inlineStr">
        <is>
          <t>1990-12-21</t>
        </is>
      </c>
      <c r="X502" t="inlineStr">
        <is>
          <t>1990-12-21</t>
        </is>
      </c>
      <c r="Y502" t="n">
        <v>147</v>
      </c>
      <c r="Z502" t="n">
        <v>114</v>
      </c>
      <c r="AA502" t="n">
        <v>114</v>
      </c>
      <c r="AB502" t="n">
        <v>1</v>
      </c>
      <c r="AC502" t="n">
        <v>1</v>
      </c>
      <c r="AD502" t="n">
        <v>2</v>
      </c>
      <c r="AE502" t="n">
        <v>2</v>
      </c>
      <c r="AF502" t="n">
        <v>0</v>
      </c>
      <c r="AG502" t="n">
        <v>0</v>
      </c>
      <c r="AH502" t="n">
        <v>1</v>
      </c>
      <c r="AI502" t="n">
        <v>1</v>
      </c>
      <c r="AJ502" t="n">
        <v>1</v>
      </c>
      <c r="AK502" t="n">
        <v>1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HYPERLINK("https://creighton-primo.hosted.exlibrisgroup.com/primo-explore/search?tab=default_tab&amp;search_scope=EVERYTHING&amp;vid=01CRU&amp;lang=en_US&amp;offset=0&amp;query=any,contains,991000813869702656","Catalog Record")</f>
        <v/>
      </c>
      <c r="AT502">
        <f>HYPERLINK("http://www.worldcat.org/oclc/22422590","WorldCat Record")</f>
        <v/>
      </c>
    </row>
    <row r="503">
      <c r="A503" t="inlineStr">
        <is>
          <t>No</t>
        </is>
      </c>
      <c r="B503" t="inlineStr">
        <is>
          <t>QV 276 C14297 1983</t>
        </is>
      </c>
      <c r="C503" t="inlineStr">
        <is>
          <t>0                      QV 0276000C  14297       1983</t>
        </is>
      </c>
      <c r="D503" t="inlineStr">
        <is>
          <t>Calcium in biological systems / edited by Ronald P. Rubin, George B. Weiss, and James W. Putney, Jr.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Plenum, c1985.</t>
        </is>
      </c>
      <c r="M503" t="inlineStr">
        <is>
          <t>1985</t>
        </is>
      </c>
      <c r="O503" t="inlineStr">
        <is>
          <t>eng</t>
        </is>
      </c>
      <c r="P503" t="inlineStr">
        <is>
          <t>xxu</t>
        </is>
      </c>
      <c r="R503" t="inlineStr">
        <is>
          <t xml:space="preserve">QV </t>
        </is>
      </c>
      <c r="S503" t="n">
        <v>10</v>
      </c>
      <c r="T503" t="n">
        <v>10</v>
      </c>
      <c r="U503" t="inlineStr">
        <is>
          <t>1991-01-17</t>
        </is>
      </c>
      <c r="V503" t="inlineStr">
        <is>
          <t>1991-01-17</t>
        </is>
      </c>
      <c r="W503" t="inlineStr">
        <is>
          <t>1988-02-09</t>
        </is>
      </c>
      <c r="X503" t="inlineStr">
        <is>
          <t>1988-02-09</t>
        </is>
      </c>
      <c r="Y503" t="n">
        <v>301</v>
      </c>
      <c r="Z503" t="n">
        <v>221</v>
      </c>
      <c r="AA503" t="n">
        <v>245</v>
      </c>
      <c r="AB503" t="n">
        <v>2</v>
      </c>
      <c r="AC503" t="n">
        <v>2</v>
      </c>
      <c r="AD503" t="n">
        <v>6</v>
      </c>
      <c r="AE503" t="n">
        <v>7</v>
      </c>
      <c r="AF503" t="n">
        <v>0</v>
      </c>
      <c r="AG503" t="n">
        <v>1</v>
      </c>
      <c r="AH503" t="n">
        <v>2</v>
      </c>
      <c r="AI503" t="n">
        <v>2</v>
      </c>
      <c r="AJ503" t="n">
        <v>4</v>
      </c>
      <c r="AK503" t="n">
        <v>5</v>
      </c>
      <c r="AL503" t="n">
        <v>1</v>
      </c>
      <c r="AM503" t="n">
        <v>1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HYPERLINK("http://catalog.hathitrust.org/Record/000651060","HathiTrust Record")</f>
        <v/>
      </c>
      <c r="AS503">
        <f>HYPERLINK("https://creighton-primo.hosted.exlibrisgroup.com/primo-explore/search?tab=default_tab&amp;search_scope=EVERYTHING&amp;vid=01CRU&amp;lang=en_US&amp;offset=0&amp;query=any,contains,991000961079702656","Catalog Record")</f>
        <v/>
      </c>
      <c r="AT503">
        <f>HYPERLINK("http://www.worldcat.org/oclc/11234543","WorldCat Record")</f>
        <v/>
      </c>
    </row>
    <row r="504">
      <c r="A504" t="inlineStr">
        <is>
          <t>No</t>
        </is>
      </c>
      <c r="B504" t="inlineStr">
        <is>
          <t>QV 276 C143 1983</t>
        </is>
      </c>
      <c r="C504" t="inlineStr">
        <is>
          <t>0                      QV 0276000C  143         1983</t>
        </is>
      </c>
      <c r="D504" t="inlineStr">
        <is>
          <t>Calcium in biology / edited by Thomas G. Spiro.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New York : Wiley, c1983.</t>
        </is>
      </c>
      <c r="M504" t="inlineStr">
        <is>
          <t>1983</t>
        </is>
      </c>
      <c r="O504" t="inlineStr">
        <is>
          <t>eng</t>
        </is>
      </c>
      <c r="P504" t="inlineStr">
        <is>
          <t>xxu</t>
        </is>
      </c>
      <c r="Q504" t="inlineStr">
        <is>
          <t>Metal ions in biology, ISSN 0271-2911 ;v. 6</t>
        </is>
      </c>
      <c r="R504" t="inlineStr">
        <is>
          <t xml:space="preserve">QV </t>
        </is>
      </c>
      <c r="S504" t="n">
        <v>2</v>
      </c>
      <c r="T504" t="n">
        <v>2</v>
      </c>
      <c r="U504" t="inlineStr">
        <is>
          <t>1999-10-26</t>
        </is>
      </c>
      <c r="V504" t="inlineStr">
        <is>
          <t>1999-10-26</t>
        </is>
      </c>
      <c r="W504" t="inlineStr">
        <is>
          <t>1988-02-09</t>
        </is>
      </c>
      <c r="X504" t="inlineStr">
        <is>
          <t>1988-02-09</t>
        </is>
      </c>
      <c r="Y504" t="n">
        <v>347</v>
      </c>
      <c r="Z504" t="n">
        <v>286</v>
      </c>
      <c r="AA504" t="n">
        <v>293</v>
      </c>
      <c r="AB504" t="n">
        <v>2</v>
      </c>
      <c r="AC504" t="n">
        <v>2</v>
      </c>
      <c r="AD504" t="n">
        <v>13</v>
      </c>
      <c r="AE504" t="n">
        <v>13</v>
      </c>
      <c r="AF504" t="n">
        <v>4</v>
      </c>
      <c r="AG504" t="n">
        <v>4</v>
      </c>
      <c r="AH504" t="n">
        <v>4</v>
      </c>
      <c r="AI504" t="n">
        <v>4</v>
      </c>
      <c r="AJ504" t="n">
        <v>9</v>
      </c>
      <c r="AK504" t="n">
        <v>9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HYPERLINK("http://catalog.hathitrust.org/Record/000286616","HathiTrust Record")</f>
        <v/>
      </c>
      <c r="AS504">
        <f>HYPERLINK("https://creighton-primo.hosted.exlibrisgroup.com/primo-explore/search?tab=default_tab&amp;search_scope=EVERYTHING&amp;vid=01CRU&amp;lang=en_US&amp;offset=0&amp;query=any,contains,991000961259702656","Catalog Record")</f>
        <v/>
      </c>
      <c r="AT504">
        <f>HYPERLINK("http://www.worldcat.org/oclc/9685424","WorldCat Record")</f>
        <v/>
      </c>
    </row>
    <row r="505">
      <c r="A505" t="inlineStr">
        <is>
          <t>No</t>
        </is>
      </c>
      <c r="B505" t="inlineStr">
        <is>
          <t>QV 276 C1436 1988</t>
        </is>
      </c>
      <c r="C505" t="inlineStr">
        <is>
          <t>0                      QV 0276000C  1436        1988</t>
        </is>
      </c>
      <c r="D505" t="inlineStr">
        <is>
          <t>Calcium in human biology / B.E.C. Nordin (ed.).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London ; New York : Springer-Verlag, c1988.</t>
        </is>
      </c>
      <c r="M505" t="inlineStr">
        <is>
          <t>1988</t>
        </is>
      </c>
      <c r="O505" t="inlineStr">
        <is>
          <t>eng</t>
        </is>
      </c>
      <c r="P505" t="inlineStr">
        <is>
          <t>enk</t>
        </is>
      </c>
      <c r="Q505" t="inlineStr">
        <is>
          <t>ILSI human nutrition reviews</t>
        </is>
      </c>
      <c r="R505" t="inlineStr">
        <is>
          <t xml:space="preserve">QV </t>
        </is>
      </c>
      <c r="S505" t="n">
        <v>8</v>
      </c>
      <c r="T505" t="n">
        <v>8</v>
      </c>
      <c r="U505" t="inlineStr">
        <is>
          <t>1993-01-11</t>
        </is>
      </c>
      <c r="V505" t="inlineStr">
        <is>
          <t>1993-01-11</t>
        </is>
      </c>
      <c r="W505" t="inlineStr">
        <is>
          <t>1989-02-11</t>
        </is>
      </c>
      <c r="X505" t="inlineStr">
        <is>
          <t>1989-02-11</t>
        </is>
      </c>
      <c r="Y505" t="n">
        <v>223</v>
      </c>
      <c r="Z505" t="n">
        <v>151</v>
      </c>
      <c r="AA505" t="n">
        <v>171</v>
      </c>
      <c r="AB505" t="n">
        <v>1</v>
      </c>
      <c r="AC505" t="n">
        <v>1</v>
      </c>
      <c r="AD505" t="n">
        <v>5</v>
      </c>
      <c r="AE505" t="n">
        <v>6</v>
      </c>
      <c r="AF505" t="n">
        <v>0</v>
      </c>
      <c r="AG505" t="n">
        <v>1</v>
      </c>
      <c r="AH505" t="n">
        <v>3</v>
      </c>
      <c r="AI505" t="n">
        <v>3</v>
      </c>
      <c r="AJ505" t="n">
        <v>3</v>
      </c>
      <c r="AK505" t="n">
        <v>4</v>
      </c>
      <c r="AL505" t="n">
        <v>0</v>
      </c>
      <c r="AM505" t="n">
        <v>0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HYPERLINK("http://catalog.hathitrust.org/Record/000945735","HathiTrust Record")</f>
        <v/>
      </c>
      <c r="AS505">
        <f>HYPERLINK("https://creighton-primo.hosted.exlibrisgroup.com/primo-explore/search?tab=default_tab&amp;search_scope=EVERYTHING&amp;vid=01CRU&amp;lang=en_US&amp;offset=0&amp;query=any,contains,991001120979702656","Catalog Record")</f>
        <v/>
      </c>
      <c r="AT505">
        <f>HYPERLINK("http://www.worldcat.org/oclc/17354645","WorldCat Record")</f>
        <v/>
      </c>
    </row>
    <row r="506">
      <c r="A506" t="inlineStr">
        <is>
          <t>No</t>
        </is>
      </c>
      <c r="B506" t="inlineStr">
        <is>
          <t>QV 276 C164 1985</t>
        </is>
      </c>
      <c r="C506" t="inlineStr">
        <is>
          <t>0                      QV 0276000C  164         1985</t>
        </is>
      </c>
      <c r="D506" t="inlineStr">
        <is>
          <t>Calmodulin antagonists and cellular physiology / edited by Hiroyoshi Hidaka, David J. Hartshorne.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L506" t="inlineStr">
        <is>
          <t>Orlando : Academic Press, c1985.</t>
        </is>
      </c>
      <c r="M506" t="inlineStr">
        <is>
          <t>1985</t>
        </is>
      </c>
      <c r="O506" t="inlineStr">
        <is>
          <t>eng</t>
        </is>
      </c>
      <c r="P506" t="inlineStr">
        <is>
          <t>flu</t>
        </is>
      </c>
      <c r="R506" t="inlineStr">
        <is>
          <t xml:space="preserve">QV </t>
        </is>
      </c>
      <c r="S506" t="n">
        <v>2</v>
      </c>
      <c r="T506" t="n">
        <v>2</v>
      </c>
      <c r="U506" t="inlineStr">
        <is>
          <t>1991-01-17</t>
        </is>
      </c>
      <c r="V506" t="inlineStr">
        <is>
          <t>1991-01-17</t>
        </is>
      </c>
      <c r="W506" t="inlineStr">
        <is>
          <t>1988-02-09</t>
        </is>
      </c>
      <c r="X506" t="inlineStr">
        <is>
          <t>1988-02-09</t>
        </is>
      </c>
      <c r="Y506" t="n">
        <v>210</v>
      </c>
      <c r="Z506" t="n">
        <v>160</v>
      </c>
      <c r="AA506" t="n">
        <v>209</v>
      </c>
      <c r="AB506" t="n">
        <v>1</v>
      </c>
      <c r="AC506" t="n">
        <v>1</v>
      </c>
      <c r="AD506" t="n">
        <v>6</v>
      </c>
      <c r="AE506" t="n">
        <v>8</v>
      </c>
      <c r="AF506" t="n">
        <v>1</v>
      </c>
      <c r="AG506" t="n">
        <v>3</v>
      </c>
      <c r="AH506" t="n">
        <v>3</v>
      </c>
      <c r="AI506" t="n">
        <v>4</v>
      </c>
      <c r="AJ506" t="n">
        <v>4</v>
      </c>
      <c r="AK506" t="n">
        <v>4</v>
      </c>
      <c r="AL506" t="n">
        <v>0</v>
      </c>
      <c r="AM506" t="n">
        <v>0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HYPERLINK("http://catalog.hathitrust.org/Record/000579132","HathiTrust Record")</f>
        <v/>
      </c>
      <c r="AS506">
        <f>HYPERLINK("https://creighton-primo.hosted.exlibrisgroup.com/primo-explore/search?tab=default_tab&amp;search_scope=EVERYTHING&amp;vid=01CRU&amp;lang=en_US&amp;offset=0&amp;query=any,contains,991000961119702656","Catalog Record")</f>
        <v/>
      </c>
      <c r="AT506">
        <f>HYPERLINK("http://www.worldcat.org/oclc/11113581","WorldCat Record")</f>
        <v/>
      </c>
    </row>
    <row r="507">
      <c r="A507" t="inlineStr">
        <is>
          <t>No</t>
        </is>
      </c>
      <c r="B507" t="inlineStr">
        <is>
          <t>QV 276 C187i 1983</t>
        </is>
      </c>
      <c r="C507" t="inlineStr">
        <is>
          <t>0                      QV 0276000C  187i        1983</t>
        </is>
      </c>
      <c r="D507" t="inlineStr">
        <is>
          <t>Intracellular calcium : its universal role as regulator / Anthony K. Campbell.</t>
        </is>
      </c>
      <c r="F507" t="inlineStr">
        <is>
          <t>No</t>
        </is>
      </c>
      <c r="G507" t="inlineStr">
        <is>
          <t>1</t>
        </is>
      </c>
      <c r="H507" t="inlineStr">
        <is>
          <t>Yes</t>
        </is>
      </c>
      <c r="I507" t="inlineStr">
        <is>
          <t>No</t>
        </is>
      </c>
      <c r="J507" t="inlineStr">
        <is>
          <t>0</t>
        </is>
      </c>
      <c r="K507" t="inlineStr">
        <is>
          <t>Campbell, Anthony K.</t>
        </is>
      </c>
      <c r="L507" t="inlineStr">
        <is>
          <t>Chichester [West Sussex] ; New York : Wiley, c1983.</t>
        </is>
      </c>
      <c r="M507" t="inlineStr">
        <is>
          <t>1983</t>
        </is>
      </c>
      <c r="O507" t="inlineStr">
        <is>
          <t>eng</t>
        </is>
      </c>
      <c r="P507" t="inlineStr">
        <is>
          <t>enk</t>
        </is>
      </c>
      <c r="Q507" t="inlineStr">
        <is>
          <t>Monographs in molecular biophysics and biochemistry</t>
        </is>
      </c>
      <c r="R507" t="inlineStr">
        <is>
          <t xml:space="preserve">QV </t>
        </is>
      </c>
      <c r="S507" t="n">
        <v>3</v>
      </c>
      <c r="T507" t="n">
        <v>3</v>
      </c>
      <c r="U507" t="inlineStr">
        <is>
          <t>1990-07-23</t>
        </is>
      </c>
      <c r="V507" t="inlineStr">
        <is>
          <t>1990-07-23</t>
        </is>
      </c>
      <c r="W507" t="inlineStr">
        <is>
          <t>1988-02-09</t>
        </is>
      </c>
      <c r="X507" t="inlineStr">
        <is>
          <t>1988-02-09</t>
        </is>
      </c>
      <c r="Y507" t="n">
        <v>448</v>
      </c>
      <c r="Z507" t="n">
        <v>323</v>
      </c>
      <c r="AA507" t="n">
        <v>325</v>
      </c>
      <c r="AB507" t="n">
        <v>3</v>
      </c>
      <c r="AC507" t="n">
        <v>3</v>
      </c>
      <c r="AD507" t="n">
        <v>15</v>
      </c>
      <c r="AE507" t="n">
        <v>15</v>
      </c>
      <c r="AF507" t="n">
        <v>6</v>
      </c>
      <c r="AG507" t="n">
        <v>6</v>
      </c>
      <c r="AH507" t="n">
        <v>5</v>
      </c>
      <c r="AI507" t="n">
        <v>5</v>
      </c>
      <c r="AJ507" t="n">
        <v>8</v>
      </c>
      <c r="AK507" t="n">
        <v>8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HYPERLINK("http://catalog.hathitrust.org/Record/000203548","HathiTrust Record")</f>
        <v/>
      </c>
      <c r="AS507">
        <f>HYPERLINK("https://creighton-primo.hosted.exlibrisgroup.com/primo-explore/search?tab=default_tab&amp;search_scope=EVERYTHING&amp;vid=01CRU&amp;lang=en_US&amp;offset=0&amp;query=any,contains,991000961159702656","Catalog Record")</f>
        <v/>
      </c>
      <c r="AT507">
        <f>HYPERLINK("http://www.worldcat.org/oclc/8476156","WorldCat Record")</f>
        <v/>
      </c>
    </row>
    <row r="508">
      <c r="A508" t="inlineStr">
        <is>
          <t>No</t>
        </is>
      </c>
      <c r="B508" t="inlineStr">
        <is>
          <t>QV 276 C3933 1987</t>
        </is>
      </c>
      <c r="C508" t="inlineStr">
        <is>
          <t>0                      QV 0276000C  3933        1987</t>
        </is>
      </c>
      <c r="D508" t="inlineStr">
        <is>
          <t>Cell calcium metabolism : physiology, biochemistry, pharmacology, and clinical implications / edited by Gary Fiskum.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New York : Plenum Press, c1989.</t>
        </is>
      </c>
      <c r="M508" t="inlineStr">
        <is>
          <t>1989</t>
        </is>
      </c>
      <c r="O508" t="inlineStr">
        <is>
          <t>eng</t>
        </is>
      </c>
      <c r="P508" t="inlineStr">
        <is>
          <t>xxu</t>
        </is>
      </c>
      <c r="Q508" t="inlineStr">
        <is>
          <t>GWUMC Department of Biochemistry annual spring symposia</t>
        </is>
      </c>
      <c r="R508" t="inlineStr">
        <is>
          <t xml:space="preserve">QV </t>
        </is>
      </c>
      <c r="S508" t="n">
        <v>8</v>
      </c>
      <c r="T508" t="n">
        <v>8</v>
      </c>
      <c r="U508" t="inlineStr">
        <is>
          <t>1990-04-10</t>
        </is>
      </c>
      <c r="V508" t="inlineStr">
        <is>
          <t>1990-04-10</t>
        </is>
      </c>
      <c r="W508" t="inlineStr">
        <is>
          <t>1988-11-30</t>
        </is>
      </c>
      <c r="X508" t="inlineStr">
        <is>
          <t>1988-11-30</t>
        </is>
      </c>
      <c r="Y508" t="n">
        <v>153</v>
      </c>
      <c r="Z508" t="n">
        <v>110</v>
      </c>
      <c r="AA508" t="n">
        <v>130</v>
      </c>
      <c r="AB508" t="n">
        <v>2</v>
      </c>
      <c r="AC508" t="n">
        <v>2</v>
      </c>
      <c r="AD508" t="n">
        <v>6</v>
      </c>
      <c r="AE508" t="n">
        <v>7</v>
      </c>
      <c r="AF508" t="n">
        <v>1</v>
      </c>
      <c r="AG508" t="n">
        <v>2</v>
      </c>
      <c r="AH508" t="n">
        <v>3</v>
      </c>
      <c r="AI508" t="n">
        <v>3</v>
      </c>
      <c r="AJ508" t="n">
        <v>2</v>
      </c>
      <c r="AK508" t="n">
        <v>3</v>
      </c>
      <c r="AL508" t="n">
        <v>1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HYPERLINK("https://creighton-primo.hosted.exlibrisgroup.com/primo-explore/search?tab=default_tab&amp;search_scope=EVERYTHING&amp;vid=01CRU&amp;lang=en_US&amp;offset=0&amp;query=any,contains,991001105009702656","Catalog Record")</f>
        <v/>
      </c>
      <c r="AT508">
        <f>HYPERLINK("http://www.worldcat.org/oclc/19392835","WorldCat Record")</f>
        <v/>
      </c>
    </row>
    <row r="509">
      <c r="A509" t="inlineStr">
        <is>
          <t>No</t>
        </is>
      </c>
      <c r="B509" t="inlineStr">
        <is>
          <t>QV 276 K36i 1981</t>
        </is>
      </c>
      <c r="C509" t="inlineStr">
        <is>
          <t>0                      QV 0276000K  36i         1981</t>
        </is>
      </c>
      <c r="D509" t="inlineStr">
        <is>
          <t>Intestinal calcium absorption and its regulation / author, Alexander D. Kenny.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Kenny, Alexander D.</t>
        </is>
      </c>
      <c r="L509" t="inlineStr">
        <is>
          <t>Boca Raton, Fl. : CRC Press, 1981.</t>
        </is>
      </c>
      <c r="M509" t="inlineStr">
        <is>
          <t>1981</t>
        </is>
      </c>
      <c r="O509" t="inlineStr">
        <is>
          <t>eng</t>
        </is>
      </c>
      <c r="P509" t="inlineStr">
        <is>
          <t>xxu</t>
        </is>
      </c>
      <c r="R509" t="inlineStr">
        <is>
          <t xml:space="preserve">QV </t>
        </is>
      </c>
      <c r="S509" t="n">
        <v>3</v>
      </c>
      <c r="T509" t="n">
        <v>3</v>
      </c>
      <c r="U509" t="inlineStr">
        <is>
          <t>1989-11-30</t>
        </is>
      </c>
      <c r="V509" t="inlineStr">
        <is>
          <t>1989-11-30</t>
        </is>
      </c>
      <c r="W509" t="inlineStr">
        <is>
          <t>1988-02-09</t>
        </is>
      </c>
      <c r="X509" t="inlineStr">
        <is>
          <t>1988-02-09</t>
        </is>
      </c>
      <c r="Y509" t="n">
        <v>157</v>
      </c>
      <c r="Z509" t="n">
        <v>118</v>
      </c>
      <c r="AA509" t="n">
        <v>142</v>
      </c>
      <c r="AB509" t="n">
        <v>1</v>
      </c>
      <c r="AC509" t="n">
        <v>1</v>
      </c>
      <c r="AD509" t="n">
        <v>1</v>
      </c>
      <c r="AE509" t="n">
        <v>1</v>
      </c>
      <c r="AF509" t="n">
        <v>0</v>
      </c>
      <c r="AG509" t="n">
        <v>0</v>
      </c>
      <c r="AH509" t="n">
        <v>1</v>
      </c>
      <c r="AI509" t="n">
        <v>1</v>
      </c>
      <c r="AJ509" t="n">
        <v>1</v>
      </c>
      <c r="AK509" t="n">
        <v>1</v>
      </c>
      <c r="AL509" t="n">
        <v>0</v>
      </c>
      <c r="AM509" t="n">
        <v>0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HYPERLINK("http://catalog.hathitrust.org/Record/000207203","HathiTrust Record")</f>
        <v/>
      </c>
      <c r="AS509">
        <f>HYPERLINK("https://creighton-primo.hosted.exlibrisgroup.com/primo-explore/search?tab=default_tab&amp;search_scope=EVERYTHING&amp;vid=01CRU&amp;lang=en_US&amp;offset=0&amp;query=any,contains,991000961039702656","Catalog Record")</f>
        <v/>
      </c>
      <c r="AT509">
        <f>HYPERLINK("http://www.worldcat.org/oclc/7171067","WorldCat Record")</f>
        <v/>
      </c>
    </row>
    <row r="510">
      <c r="A510" t="inlineStr">
        <is>
          <t>No</t>
        </is>
      </c>
      <c r="B510" t="inlineStr">
        <is>
          <t>QV 276 M533 1982</t>
        </is>
      </c>
      <c r="C510" t="inlineStr">
        <is>
          <t>0                      QV 0276000M  533         1982</t>
        </is>
      </c>
      <c r="D510" t="inlineStr">
        <is>
          <t>Membrane transport of calcium / edited by Ernesto Carafoli.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L510" t="inlineStr">
        <is>
          <t>London ; New York : Academic Press, c1982.</t>
        </is>
      </c>
      <c r="M510" t="inlineStr">
        <is>
          <t>1982</t>
        </is>
      </c>
      <c r="O510" t="inlineStr">
        <is>
          <t>eng</t>
        </is>
      </c>
      <c r="P510" t="inlineStr">
        <is>
          <t>enk</t>
        </is>
      </c>
      <c r="R510" t="inlineStr">
        <is>
          <t xml:space="preserve">QV </t>
        </is>
      </c>
      <c r="S510" t="n">
        <v>5</v>
      </c>
      <c r="T510" t="n">
        <v>5</v>
      </c>
      <c r="U510" t="inlineStr">
        <is>
          <t>2006-04-04</t>
        </is>
      </c>
      <c r="V510" t="inlineStr">
        <is>
          <t>2006-04-04</t>
        </is>
      </c>
      <c r="W510" t="inlineStr">
        <is>
          <t>1988-02-09</t>
        </is>
      </c>
      <c r="X510" t="inlineStr">
        <is>
          <t>1988-02-09</t>
        </is>
      </c>
      <c r="Y510" t="n">
        <v>262</v>
      </c>
      <c r="Z510" t="n">
        <v>169</v>
      </c>
      <c r="AA510" t="n">
        <v>177</v>
      </c>
      <c r="AB510" t="n">
        <v>2</v>
      </c>
      <c r="AC510" t="n">
        <v>2</v>
      </c>
      <c r="AD510" t="n">
        <v>6</v>
      </c>
      <c r="AE510" t="n">
        <v>6</v>
      </c>
      <c r="AF510" t="n">
        <v>1</v>
      </c>
      <c r="AG510" t="n">
        <v>1</v>
      </c>
      <c r="AH510" t="n">
        <v>2</v>
      </c>
      <c r="AI510" t="n">
        <v>2</v>
      </c>
      <c r="AJ510" t="n">
        <v>3</v>
      </c>
      <c r="AK510" t="n">
        <v>3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HYPERLINK("http://catalog.hathitrust.org/Record/000329670","HathiTrust Record")</f>
        <v/>
      </c>
      <c r="AS510">
        <f>HYPERLINK("https://creighton-primo.hosted.exlibrisgroup.com/primo-explore/search?tab=default_tab&amp;search_scope=EVERYTHING&amp;vid=01CRU&amp;lang=en_US&amp;offset=0&amp;query=any,contains,991000960959702656","Catalog Record")</f>
        <v/>
      </c>
      <c r="AT510">
        <f>HYPERLINK("http://www.worldcat.org/oclc/8502879","WorldCat Record")</f>
        <v/>
      </c>
    </row>
    <row r="511">
      <c r="A511" t="inlineStr">
        <is>
          <t>No</t>
        </is>
      </c>
      <c r="B511" t="inlineStr">
        <is>
          <t>QV 276 N331c 1988</t>
        </is>
      </c>
      <c r="C511" t="inlineStr">
        <is>
          <t>0                      QV 0276000N  331c        1988</t>
        </is>
      </c>
      <c r="D511" t="inlineStr">
        <is>
          <t>Calcium antagonists / Winifred G. Nayler.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Nayler, W.</t>
        </is>
      </c>
      <c r="L511" t="inlineStr">
        <is>
          <t>London ; San Diego : Academic, c1988.</t>
        </is>
      </c>
      <c r="M511" t="inlineStr">
        <is>
          <t>1988</t>
        </is>
      </c>
      <c r="O511" t="inlineStr">
        <is>
          <t>eng</t>
        </is>
      </c>
      <c r="P511" t="inlineStr">
        <is>
          <t>enk</t>
        </is>
      </c>
      <c r="R511" t="inlineStr">
        <is>
          <t xml:space="preserve">QV </t>
        </is>
      </c>
      <c r="S511" t="n">
        <v>4</v>
      </c>
      <c r="T511" t="n">
        <v>4</v>
      </c>
      <c r="U511" t="inlineStr">
        <is>
          <t>1996-01-09</t>
        </is>
      </c>
      <c r="V511" t="inlineStr">
        <is>
          <t>1996-01-09</t>
        </is>
      </c>
      <c r="W511" t="inlineStr">
        <is>
          <t>1989-02-17</t>
        </is>
      </c>
      <c r="X511" t="inlineStr">
        <is>
          <t>1989-02-17</t>
        </is>
      </c>
      <c r="Y511" t="n">
        <v>145</v>
      </c>
      <c r="Z511" t="n">
        <v>91</v>
      </c>
      <c r="AA511" t="n">
        <v>93</v>
      </c>
      <c r="AB511" t="n">
        <v>1</v>
      </c>
      <c r="AC511" t="n">
        <v>1</v>
      </c>
      <c r="AD511" t="n">
        <v>2</v>
      </c>
      <c r="AE511" t="n">
        <v>2</v>
      </c>
      <c r="AF511" t="n">
        <v>1</v>
      </c>
      <c r="AG511" t="n">
        <v>1</v>
      </c>
      <c r="AH511" t="n">
        <v>0</v>
      </c>
      <c r="AI511" t="n">
        <v>0</v>
      </c>
      <c r="AJ511" t="n">
        <v>1</v>
      </c>
      <c r="AK511" t="n">
        <v>1</v>
      </c>
      <c r="AL511" t="n">
        <v>0</v>
      </c>
      <c r="AM511" t="n">
        <v>0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HYPERLINK("http://catalog.hathitrust.org/Record/000949606","HathiTrust Record")</f>
        <v/>
      </c>
      <c r="AS511">
        <f>HYPERLINK("https://creighton-primo.hosted.exlibrisgroup.com/primo-explore/search?tab=default_tab&amp;search_scope=EVERYTHING&amp;vid=01CRU&amp;lang=en_US&amp;offset=0&amp;query=any,contains,991001124199702656","Catalog Record")</f>
        <v/>
      </c>
      <c r="AT511">
        <f>HYPERLINK("http://www.worldcat.org/oclc/20398391","WorldCat Record")</f>
        <v/>
      </c>
    </row>
    <row r="512">
      <c r="A512" t="inlineStr">
        <is>
          <t>No</t>
        </is>
      </c>
      <c r="B512" t="inlineStr">
        <is>
          <t>QV 276 P895 1994</t>
        </is>
      </c>
      <c r="C512" t="inlineStr">
        <is>
          <t>0                      QV 0276000P  895         1994</t>
        </is>
      </c>
      <c r="D512" t="inlineStr">
        <is>
          <t>A Practical guide to the study of calcium in living cells / edited by Richard Nuccitelli.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L512" t="inlineStr">
        <is>
          <t>San Diego : Academic Press, c1994.</t>
        </is>
      </c>
      <c r="M512" t="inlineStr">
        <is>
          <t>1994</t>
        </is>
      </c>
      <c r="O512" t="inlineStr">
        <is>
          <t>eng</t>
        </is>
      </c>
      <c r="P512" t="inlineStr">
        <is>
          <t>xxu</t>
        </is>
      </c>
      <c r="Q512" t="inlineStr">
        <is>
          <t>Methods in cell biology, 0091-679X ; v. 40</t>
        </is>
      </c>
      <c r="R512" t="inlineStr">
        <is>
          <t xml:space="preserve">QV </t>
        </is>
      </c>
      <c r="S512" t="n">
        <v>7</v>
      </c>
      <c r="T512" t="n">
        <v>7</v>
      </c>
      <c r="U512" t="inlineStr">
        <is>
          <t>1995-05-25</t>
        </is>
      </c>
      <c r="V512" t="inlineStr">
        <is>
          <t>1995-05-25</t>
        </is>
      </c>
      <c r="W512" t="inlineStr">
        <is>
          <t>1994-09-13</t>
        </is>
      </c>
      <c r="X512" t="inlineStr">
        <is>
          <t>1994-09-13</t>
        </is>
      </c>
      <c r="Y512" t="n">
        <v>251</v>
      </c>
      <c r="Z512" t="n">
        <v>160</v>
      </c>
      <c r="AA512" t="n">
        <v>188</v>
      </c>
      <c r="AB512" t="n">
        <v>1</v>
      </c>
      <c r="AC512" t="n">
        <v>2</v>
      </c>
      <c r="AD512" t="n">
        <v>5</v>
      </c>
      <c r="AE512" t="n">
        <v>7</v>
      </c>
      <c r="AF512" t="n">
        <v>2</v>
      </c>
      <c r="AG512" t="n">
        <v>3</v>
      </c>
      <c r="AH512" t="n">
        <v>2</v>
      </c>
      <c r="AI512" t="n">
        <v>3</v>
      </c>
      <c r="AJ512" t="n">
        <v>4</v>
      </c>
      <c r="AK512" t="n">
        <v>4</v>
      </c>
      <c r="AL512" t="n">
        <v>0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HYPERLINK("https://creighton-primo.hosted.exlibrisgroup.com/primo-explore/search?tab=default_tab&amp;search_scope=EVERYTHING&amp;vid=01CRU&amp;lang=en_US&amp;offset=0&amp;query=any,contains,991000680009702656","Catalog Record")</f>
        <v/>
      </c>
      <c r="AT512">
        <f>HYPERLINK("http://www.worldcat.org/oclc/30010969","WorldCat Record")</f>
        <v/>
      </c>
    </row>
    <row r="513">
      <c r="A513" t="inlineStr">
        <is>
          <t>No</t>
        </is>
      </c>
      <c r="B513" t="inlineStr">
        <is>
          <t>QV 276 R228c 1981</t>
        </is>
      </c>
      <c r="C513" t="inlineStr">
        <is>
          <t>0                      QV 0276000R  228c        1981</t>
        </is>
      </c>
      <c r="D513" t="inlineStr">
        <is>
          <t>Calcium and cAMP as synarchic messengers / Howard Rasmussen.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K513" t="inlineStr">
        <is>
          <t>Rasmussen, Howard, 1925-</t>
        </is>
      </c>
      <c r="L513" t="inlineStr">
        <is>
          <t>New York : Wiley, c1981.</t>
        </is>
      </c>
      <c r="M513" t="inlineStr">
        <is>
          <t>1981</t>
        </is>
      </c>
      <c r="O513" t="inlineStr">
        <is>
          <t>eng</t>
        </is>
      </c>
      <c r="P513" t="inlineStr">
        <is>
          <t>xxu</t>
        </is>
      </c>
      <c r="Q513" t="inlineStr">
        <is>
          <t>Wiley-Interscience publication</t>
        </is>
      </c>
      <c r="R513" t="inlineStr">
        <is>
          <t xml:space="preserve">QV </t>
        </is>
      </c>
      <c r="S513" t="n">
        <v>2</v>
      </c>
      <c r="T513" t="n">
        <v>2</v>
      </c>
      <c r="U513" t="inlineStr">
        <is>
          <t>1992-04-13</t>
        </is>
      </c>
      <c r="V513" t="inlineStr">
        <is>
          <t>1992-04-13</t>
        </is>
      </c>
      <c r="W513" t="inlineStr">
        <is>
          <t>1988-02-09</t>
        </is>
      </c>
      <c r="X513" t="inlineStr">
        <is>
          <t>1988-02-09</t>
        </is>
      </c>
      <c r="Y513" t="n">
        <v>302</v>
      </c>
      <c r="Z513" t="n">
        <v>248</v>
      </c>
      <c r="AA513" t="n">
        <v>250</v>
      </c>
      <c r="AB513" t="n">
        <v>4</v>
      </c>
      <c r="AC513" t="n">
        <v>4</v>
      </c>
      <c r="AD513" t="n">
        <v>11</v>
      </c>
      <c r="AE513" t="n">
        <v>11</v>
      </c>
      <c r="AF513" t="n">
        <v>4</v>
      </c>
      <c r="AG513" t="n">
        <v>4</v>
      </c>
      <c r="AH513" t="n">
        <v>3</v>
      </c>
      <c r="AI513" t="n">
        <v>3</v>
      </c>
      <c r="AJ513" t="n">
        <v>6</v>
      </c>
      <c r="AK513" t="n">
        <v>6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HYPERLINK("http://catalog.hathitrust.org/Record/000231316","HathiTrust Record")</f>
        <v/>
      </c>
      <c r="AS513">
        <f>HYPERLINK("https://creighton-primo.hosted.exlibrisgroup.com/primo-explore/search?tab=default_tab&amp;search_scope=EVERYTHING&amp;vid=01CRU&amp;lang=en_US&amp;offset=0&amp;query=any,contains,991000960879702656","Catalog Record")</f>
        <v/>
      </c>
      <c r="AT513">
        <f>HYPERLINK("http://www.worldcat.org/oclc/7573077","WorldCat Record")</f>
        <v/>
      </c>
    </row>
    <row r="514">
      <c r="A514" t="inlineStr">
        <is>
          <t>No</t>
        </is>
      </c>
      <c r="B514" t="inlineStr">
        <is>
          <t>QV 276 R333c 1986</t>
        </is>
      </c>
      <c r="C514" t="inlineStr">
        <is>
          <t>0                      QV 0276000R  333c        1986</t>
        </is>
      </c>
      <c r="D514" t="inlineStr">
        <is>
          <t>The Ca2+ pump of plasma membranes / authors, Alcides F. Rega, Patricio J. Garrahan.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Rega, Alcides F.</t>
        </is>
      </c>
      <c r="L514" t="inlineStr">
        <is>
          <t>Boca Raton, Fla. : CRC Press, c1986.</t>
        </is>
      </c>
      <c r="M514" t="inlineStr">
        <is>
          <t>1986</t>
        </is>
      </c>
      <c r="O514" t="inlineStr">
        <is>
          <t>eng</t>
        </is>
      </c>
      <c r="P514" t="inlineStr">
        <is>
          <t>xxu</t>
        </is>
      </c>
      <c r="R514" t="inlineStr">
        <is>
          <t xml:space="preserve">QV </t>
        </is>
      </c>
      <c r="S514" t="n">
        <v>6</v>
      </c>
      <c r="T514" t="n">
        <v>6</v>
      </c>
      <c r="U514" t="inlineStr">
        <is>
          <t>1992-04-13</t>
        </is>
      </c>
      <c r="V514" t="inlineStr">
        <is>
          <t>1992-04-13</t>
        </is>
      </c>
      <c r="W514" t="inlineStr">
        <is>
          <t>1988-02-09</t>
        </is>
      </c>
      <c r="X514" t="inlineStr">
        <is>
          <t>1988-02-09</t>
        </is>
      </c>
      <c r="Y514" t="n">
        <v>274</v>
      </c>
      <c r="Z514" t="n">
        <v>193</v>
      </c>
      <c r="AA514" t="n">
        <v>236</v>
      </c>
      <c r="AB514" t="n">
        <v>2</v>
      </c>
      <c r="AC514" t="n">
        <v>2</v>
      </c>
      <c r="AD514" t="n">
        <v>7</v>
      </c>
      <c r="AE514" t="n">
        <v>7</v>
      </c>
      <c r="AF514" t="n">
        <v>2</v>
      </c>
      <c r="AG514" t="n">
        <v>2</v>
      </c>
      <c r="AH514" t="n">
        <v>2</v>
      </c>
      <c r="AI514" t="n">
        <v>2</v>
      </c>
      <c r="AJ514" t="n">
        <v>4</v>
      </c>
      <c r="AK514" t="n">
        <v>4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HYPERLINK("http://catalog.hathitrust.org/Record/000822158","HathiTrust Record")</f>
        <v/>
      </c>
      <c r="AS514">
        <f>HYPERLINK("https://creighton-primo.hosted.exlibrisgroup.com/primo-explore/search?tab=default_tab&amp;search_scope=EVERYTHING&amp;vid=01CRU&amp;lang=en_US&amp;offset=0&amp;query=any,contains,991000960909702656","Catalog Record")</f>
        <v/>
      </c>
      <c r="AT514">
        <f>HYPERLINK("http://www.worldcat.org/oclc/12107423","WorldCat Record")</f>
        <v/>
      </c>
    </row>
    <row r="515">
      <c r="A515" t="inlineStr">
        <is>
          <t>No</t>
        </is>
      </c>
      <c r="B515" t="inlineStr">
        <is>
          <t>QV 276 R746 1987</t>
        </is>
      </c>
      <c r="C515" t="inlineStr">
        <is>
          <t>0                      QV 0276000R  746         1987</t>
        </is>
      </c>
      <c r="D515" t="inlineStr">
        <is>
          <t>The Role of calcium in drug action / section editor, M.A. Denborough.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Oxford ; New York : Pergamon Press, c1986.</t>
        </is>
      </c>
      <c r="M515" t="inlineStr">
        <is>
          <t>1986</t>
        </is>
      </c>
      <c r="N515" t="inlineStr">
        <is>
          <t>1st ed.</t>
        </is>
      </c>
      <c r="O515" t="inlineStr">
        <is>
          <t>eng</t>
        </is>
      </c>
      <c r="P515" t="inlineStr">
        <is>
          <t>enk</t>
        </is>
      </c>
      <c r="Q515" t="inlineStr">
        <is>
          <t>International encyclopedia of pharmacology and therapeutics ; section 124</t>
        </is>
      </c>
      <c r="R515" t="inlineStr">
        <is>
          <t xml:space="preserve">QV </t>
        </is>
      </c>
      <c r="S515" t="n">
        <v>6</v>
      </c>
      <c r="T515" t="n">
        <v>6</v>
      </c>
      <c r="U515" t="inlineStr">
        <is>
          <t>1988-11-10</t>
        </is>
      </c>
      <c r="V515" t="inlineStr">
        <is>
          <t>1988-11-10</t>
        </is>
      </c>
      <c r="W515" t="inlineStr">
        <is>
          <t>1988-02-09</t>
        </is>
      </c>
      <c r="X515" t="inlineStr">
        <is>
          <t>1988-02-09</t>
        </is>
      </c>
      <c r="Y515" t="n">
        <v>112</v>
      </c>
      <c r="Z515" t="n">
        <v>75</v>
      </c>
      <c r="AA515" t="n">
        <v>77</v>
      </c>
      <c r="AB515" t="n">
        <v>1</v>
      </c>
      <c r="AC515" t="n">
        <v>1</v>
      </c>
      <c r="AD515" t="n">
        <v>1</v>
      </c>
      <c r="AE515" t="n">
        <v>1</v>
      </c>
      <c r="AF515" t="n">
        <v>0</v>
      </c>
      <c r="AG515" t="n">
        <v>0</v>
      </c>
      <c r="AH515" t="n">
        <v>1</v>
      </c>
      <c r="AI515" t="n">
        <v>1</v>
      </c>
      <c r="AJ515" t="n">
        <v>0</v>
      </c>
      <c r="AK515" t="n">
        <v>0</v>
      </c>
      <c r="AL515" t="n">
        <v>0</v>
      </c>
      <c r="AM515" t="n">
        <v>0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HYPERLINK("http://catalog.hathitrust.org/Record/000829699","HathiTrust Record")</f>
        <v/>
      </c>
      <c r="AS515">
        <f>HYPERLINK("https://creighton-primo.hosted.exlibrisgroup.com/primo-explore/search?tab=default_tab&amp;search_scope=EVERYTHING&amp;vid=01CRU&amp;lang=en_US&amp;offset=0&amp;query=any,contains,991001265389702656","Catalog Record")</f>
        <v/>
      </c>
      <c r="AT515">
        <f>HYPERLINK("http://www.worldcat.org/oclc/13903046","WorldCat Record")</f>
        <v/>
      </c>
    </row>
    <row r="516">
      <c r="A516" t="inlineStr">
        <is>
          <t>No</t>
        </is>
      </c>
      <c r="B516" t="inlineStr">
        <is>
          <t>QV 282 F647 1970</t>
        </is>
      </c>
      <c r="C516" t="inlineStr">
        <is>
          <t>0                      QV 0282000F  647         1970</t>
        </is>
      </c>
      <c r="D516" t="inlineStr">
        <is>
          <t>Fluoride in medicine : ([Report of] a symposium which took place at Bad Ragaz on April 17th to 19th, 1969.) / ed. by T(homas) L. Vischer.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Bern, Stuttgart, Vienna : Hans Huber, (1970)</t>
        </is>
      </c>
      <c r="M516" t="inlineStr">
        <is>
          <t>1970</t>
        </is>
      </c>
      <c r="O516" t="inlineStr">
        <is>
          <t>eng</t>
        </is>
      </c>
      <c r="P516" t="inlineStr">
        <is>
          <t xml:space="preserve">sz </t>
        </is>
      </c>
      <c r="R516" t="inlineStr">
        <is>
          <t xml:space="preserve">QV </t>
        </is>
      </c>
      <c r="S516" t="n">
        <v>5</v>
      </c>
      <c r="T516" t="n">
        <v>5</v>
      </c>
      <c r="U516" t="inlineStr">
        <is>
          <t>1990-05-09</t>
        </is>
      </c>
      <c r="V516" t="inlineStr">
        <is>
          <t>1990-05-09</t>
        </is>
      </c>
      <c r="W516" t="inlineStr">
        <is>
          <t>1988-03-17</t>
        </is>
      </c>
      <c r="X516" t="inlineStr">
        <is>
          <t>1988-03-17</t>
        </is>
      </c>
      <c r="Y516" t="n">
        <v>71</v>
      </c>
      <c r="Z516" t="n">
        <v>54</v>
      </c>
      <c r="AA516" t="n">
        <v>56</v>
      </c>
      <c r="AB516" t="n">
        <v>1</v>
      </c>
      <c r="AC516" t="n">
        <v>1</v>
      </c>
      <c r="AD516" t="n">
        <v>1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1</v>
      </c>
      <c r="AL516" t="n">
        <v>0</v>
      </c>
      <c r="AM516" t="n">
        <v>0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HYPERLINK("http://catalog.hathitrust.org/Record/001571734","HathiTrust Record")</f>
        <v/>
      </c>
      <c r="AS516">
        <f>HYPERLINK("https://creighton-primo.hosted.exlibrisgroup.com/primo-explore/search?tab=default_tab&amp;search_scope=EVERYTHING&amp;vid=01CRU&amp;lang=en_US&amp;offset=0&amp;query=any,contains,991000960839702656","Catalog Record")</f>
        <v/>
      </c>
      <c r="AT516">
        <f>HYPERLINK("http://www.worldcat.org/oclc/135699","WorldCat Record")</f>
        <v/>
      </c>
    </row>
    <row r="517">
      <c r="A517" t="inlineStr">
        <is>
          <t>No</t>
        </is>
      </c>
      <c r="B517" t="inlineStr">
        <is>
          <t>QV 282 S989c 1971</t>
        </is>
      </c>
      <c r="C517" t="inlineStr">
        <is>
          <t>0                      QV 0282000S  989c        1971</t>
        </is>
      </c>
      <c r="D517" t="inlineStr">
        <is>
          <t>Carbon-fluorine compounds : chemistry, biochemistry &amp; biological activities : a Ciba Foundation symposium.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Symposium on Carbon-Fluorine Compounds: Chemistry, Biochemistry and Biological Activities (1971 : London, England)</t>
        </is>
      </c>
      <c r="L517" t="inlineStr">
        <is>
          <t>Amsterdam ; New York : Associated Scientific Publishers, 1972.</t>
        </is>
      </c>
      <c r="M517" t="inlineStr">
        <is>
          <t>1972</t>
        </is>
      </c>
      <c r="O517" t="inlineStr">
        <is>
          <t>eng</t>
        </is>
      </c>
      <c r="P517" t="inlineStr">
        <is>
          <t xml:space="preserve">ne </t>
        </is>
      </c>
      <c r="R517" t="inlineStr">
        <is>
          <t xml:space="preserve">QV </t>
        </is>
      </c>
      <c r="S517" t="n">
        <v>4</v>
      </c>
      <c r="T517" t="n">
        <v>4</v>
      </c>
      <c r="U517" t="inlineStr">
        <is>
          <t>2002-11-05</t>
        </is>
      </c>
      <c r="V517" t="inlineStr">
        <is>
          <t>2002-11-05</t>
        </is>
      </c>
      <c r="W517" t="inlineStr">
        <is>
          <t>1988-03-17</t>
        </is>
      </c>
      <c r="X517" t="inlineStr">
        <is>
          <t>1988-03-17</t>
        </is>
      </c>
      <c r="Y517" t="n">
        <v>283</v>
      </c>
      <c r="Z517" t="n">
        <v>241</v>
      </c>
      <c r="AA517" t="n">
        <v>601</v>
      </c>
      <c r="AB517" t="n">
        <v>3</v>
      </c>
      <c r="AC517" t="n">
        <v>6</v>
      </c>
      <c r="AD517" t="n">
        <v>9</v>
      </c>
      <c r="AE517" t="n">
        <v>26</v>
      </c>
      <c r="AF517" t="n">
        <v>1</v>
      </c>
      <c r="AG517" t="n">
        <v>7</v>
      </c>
      <c r="AH517" t="n">
        <v>1</v>
      </c>
      <c r="AI517" t="n">
        <v>6</v>
      </c>
      <c r="AJ517" t="n">
        <v>5</v>
      </c>
      <c r="AK517" t="n">
        <v>9</v>
      </c>
      <c r="AL517" t="n">
        <v>2</v>
      </c>
      <c r="AM517" t="n">
        <v>5</v>
      </c>
      <c r="AN517" t="n">
        <v>0</v>
      </c>
      <c r="AO517" t="n">
        <v>1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HYPERLINK("http://catalog.hathitrust.org/Record/000039831","HathiTrust Record")</f>
        <v/>
      </c>
      <c r="AS517">
        <f>HYPERLINK("https://creighton-primo.hosted.exlibrisgroup.com/primo-explore/search?tab=default_tab&amp;search_scope=EVERYTHING&amp;vid=01CRU&amp;lang=en_US&amp;offset=0&amp;query=any,contains,991000960809702656","Catalog Record")</f>
        <v/>
      </c>
      <c r="AT517">
        <f>HYPERLINK("http://www.worldcat.org/oclc/1164703","WorldCat Record")</f>
        <v/>
      </c>
    </row>
    <row r="518">
      <c r="A518" t="inlineStr">
        <is>
          <t>No</t>
        </is>
      </c>
      <c r="B518" t="inlineStr">
        <is>
          <t>QV 282 W595m 1996</t>
        </is>
      </c>
      <c r="C518" t="inlineStr">
        <is>
          <t>0                      QV 0282000W  595m        1996</t>
        </is>
      </c>
      <c r="D518" t="inlineStr">
        <is>
          <t>The metabolism and toxicity of fluoride / Gary M. Whitford.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Whitford, Gary M.</t>
        </is>
      </c>
      <c r="L518" t="inlineStr">
        <is>
          <t>Basel ; New York : Karger, c1996.</t>
        </is>
      </c>
      <c r="M518" t="inlineStr">
        <is>
          <t>1996</t>
        </is>
      </c>
      <c r="N518" t="inlineStr">
        <is>
          <t>2nd, rev. ed.</t>
        </is>
      </c>
      <c r="O518" t="inlineStr">
        <is>
          <t>eng</t>
        </is>
      </c>
      <c r="P518" t="inlineStr">
        <is>
          <t xml:space="preserve">sz </t>
        </is>
      </c>
      <c r="Q518" t="inlineStr">
        <is>
          <t>Monographs in oral science ; vol. 16</t>
        </is>
      </c>
      <c r="R518" t="inlineStr">
        <is>
          <t xml:space="preserve">QV </t>
        </is>
      </c>
      <c r="S518" t="n">
        <v>1</v>
      </c>
      <c r="T518" t="n">
        <v>1</v>
      </c>
      <c r="U518" t="inlineStr">
        <is>
          <t>1997-06-17</t>
        </is>
      </c>
      <c r="V518" t="inlineStr">
        <is>
          <t>1997-06-17</t>
        </is>
      </c>
      <c r="W518" t="inlineStr">
        <is>
          <t>1997-06-17</t>
        </is>
      </c>
      <c r="X518" t="inlineStr">
        <is>
          <t>1997-06-17</t>
        </is>
      </c>
      <c r="Y518" t="n">
        <v>125</v>
      </c>
      <c r="Z518" t="n">
        <v>75</v>
      </c>
      <c r="AA518" t="n">
        <v>126</v>
      </c>
      <c r="AB518" t="n">
        <v>1</v>
      </c>
      <c r="AC518" t="n">
        <v>1</v>
      </c>
      <c r="AD518" t="n">
        <v>3</v>
      </c>
      <c r="AE518" t="n">
        <v>3</v>
      </c>
      <c r="AF518" t="n">
        <v>0</v>
      </c>
      <c r="AG518" t="n">
        <v>0</v>
      </c>
      <c r="AH518" t="n">
        <v>2</v>
      </c>
      <c r="AI518" t="n">
        <v>2</v>
      </c>
      <c r="AJ518" t="n">
        <v>2</v>
      </c>
      <c r="AK518" t="n">
        <v>2</v>
      </c>
      <c r="AL518" t="n">
        <v>0</v>
      </c>
      <c r="AM518" t="n">
        <v>0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HYPERLINK("http://catalog.hathitrust.org/Record/003081210","HathiTrust Record")</f>
        <v/>
      </c>
      <c r="AS518">
        <f>HYPERLINK("https://creighton-primo.hosted.exlibrisgroup.com/primo-explore/search?tab=default_tab&amp;search_scope=EVERYTHING&amp;vid=01CRU&amp;lang=en_US&amp;offset=0&amp;query=any,contains,991001254549702656","Catalog Record")</f>
        <v/>
      </c>
      <c r="AT518">
        <f>HYPERLINK("http://www.worldcat.org/oclc/34547929","WorldCat Record")</f>
        <v/>
      </c>
    </row>
    <row r="519">
      <c r="A519" t="inlineStr">
        <is>
          <t>No</t>
        </is>
      </c>
      <c r="B519" t="inlineStr">
        <is>
          <t>QV 290 F897c 1971</t>
        </is>
      </c>
      <c r="C519" t="inlineStr">
        <is>
          <t>0                      QV 0290000F  897c        1971</t>
        </is>
      </c>
      <c r="D519" t="inlineStr">
        <is>
          <t>Cadmium in the environment / by Lars Friberg.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Friberg, Lars.</t>
        </is>
      </c>
      <c r="L519" t="inlineStr">
        <is>
          <t>Cleveland : CRC Press, c1971.</t>
        </is>
      </c>
      <c r="M519" t="inlineStr">
        <is>
          <t>1971</t>
        </is>
      </c>
      <c r="O519" t="inlineStr">
        <is>
          <t>eng</t>
        </is>
      </c>
      <c r="P519" t="inlineStr">
        <is>
          <t>ohu</t>
        </is>
      </c>
      <c r="R519" t="inlineStr">
        <is>
          <t xml:space="preserve">QV </t>
        </is>
      </c>
      <c r="S519" t="n">
        <v>3</v>
      </c>
      <c r="T519" t="n">
        <v>3</v>
      </c>
      <c r="U519" t="inlineStr">
        <is>
          <t>1995-03-14</t>
        </is>
      </c>
      <c r="V519" t="inlineStr">
        <is>
          <t>1995-03-14</t>
        </is>
      </c>
      <c r="W519" t="inlineStr">
        <is>
          <t>1988-02-09</t>
        </is>
      </c>
      <c r="X519" t="inlineStr">
        <is>
          <t>1988-02-09</t>
        </is>
      </c>
      <c r="Y519" t="n">
        <v>332</v>
      </c>
      <c r="Z519" t="n">
        <v>298</v>
      </c>
      <c r="AA519" t="n">
        <v>481</v>
      </c>
      <c r="AB519" t="n">
        <v>3</v>
      </c>
      <c r="AC519" t="n">
        <v>3</v>
      </c>
      <c r="AD519" t="n">
        <v>9</v>
      </c>
      <c r="AE519" t="n">
        <v>10</v>
      </c>
      <c r="AF519" t="n">
        <v>1</v>
      </c>
      <c r="AG519" t="n">
        <v>2</v>
      </c>
      <c r="AH519" t="n">
        <v>3</v>
      </c>
      <c r="AI519" t="n">
        <v>4</v>
      </c>
      <c r="AJ519" t="n">
        <v>5</v>
      </c>
      <c r="AK519" t="n">
        <v>5</v>
      </c>
      <c r="AL519" t="n">
        <v>2</v>
      </c>
      <c r="AM519" t="n">
        <v>2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HYPERLINK("http://catalog.hathitrust.org/Record/001560593","HathiTrust Record")</f>
        <v/>
      </c>
      <c r="AS519">
        <f>HYPERLINK("https://creighton-primo.hosted.exlibrisgroup.com/primo-explore/search?tab=default_tab&amp;search_scope=EVERYTHING&amp;vid=01CRU&amp;lang=en_US&amp;offset=0&amp;query=any,contains,991000960729702656","Catalog Record")</f>
        <v/>
      </c>
      <c r="AT519">
        <f>HYPERLINK("http://www.worldcat.org/oclc/251675","WorldCat Record")</f>
        <v/>
      </c>
    </row>
    <row r="520">
      <c r="A520" t="inlineStr">
        <is>
          <t>No</t>
        </is>
      </c>
      <c r="B520" t="inlineStr">
        <is>
          <t>QV 290 F897m 1972</t>
        </is>
      </c>
      <c r="C520" t="inlineStr">
        <is>
          <t>0                      QV 0290000F  897m        1972</t>
        </is>
      </c>
      <c r="D520" t="inlineStr">
        <is>
          <t>Mercury in the environment : an epidemiological and toxicological appraisal / editors, Lars Friberg, Jaroslav Vostal.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Yes</t>
        </is>
      </c>
      <c r="J520" t="inlineStr">
        <is>
          <t>0</t>
        </is>
      </c>
      <c r="K520" t="inlineStr">
        <is>
          <t>Friberg, Lars.</t>
        </is>
      </c>
      <c r="L520" t="inlineStr">
        <is>
          <t>Cleveland : CRC Press, c1972, 1976 printing.</t>
        </is>
      </c>
      <c r="M520" t="inlineStr">
        <is>
          <t>1972</t>
        </is>
      </c>
      <c r="O520" t="inlineStr">
        <is>
          <t>eng</t>
        </is>
      </c>
      <c r="P520" t="inlineStr">
        <is>
          <t>ohu</t>
        </is>
      </c>
      <c r="R520" t="inlineStr">
        <is>
          <t xml:space="preserve">QV </t>
        </is>
      </c>
      <c r="S520" t="n">
        <v>2</v>
      </c>
      <c r="T520" t="n">
        <v>2</v>
      </c>
      <c r="U520" t="inlineStr">
        <is>
          <t>2002-10-06</t>
        </is>
      </c>
      <c r="V520" t="inlineStr">
        <is>
          <t>2002-10-06</t>
        </is>
      </c>
      <c r="W520" t="inlineStr">
        <is>
          <t>1988-03-21</t>
        </is>
      </c>
      <c r="X520" t="inlineStr">
        <is>
          <t>1988-03-21</t>
        </is>
      </c>
      <c r="Y520" t="n">
        <v>41</v>
      </c>
      <c r="Z520" t="n">
        <v>34</v>
      </c>
      <c r="AA520" t="n">
        <v>492</v>
      </c>
      <c r="AB520" t="n">
        <v>1</v>
      </c>
      <c r="AC520" t="n">
        <v>3</v>
      </c>
      <c r="AD520" t="n">
        <v>0</v>
      </c>
      <c r="AE520" t="n">
        <v>21</v>
      </c>
      <c r="AF520" t="n">
        <v>0</v>
      </c>
      <c r="AG520" t="n">
        <v>12</v>
      </c>
      <c r="AH520" t="n">
        <v>0</v>
      </c>
      <c r="AI520" t="n">
        <v>4</v>
      </c>
      <c r="AJ520" t="n">
        <v>0</v>
      </c>
      <c r="AK520" t="n">
        <v>10</v>
      </c>
      <c r="AL520" t="n">
        <v>0</v>
      </c>
      <c r="AM520" t="n">
        <v>1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HYPERLINK("https://creighton-primo.hosted.exlibrisgroup.com/primo-explore/search?tab=default_tab&amp;search_scope=EVERYTHING&amp;vid=01CRU&amp;lang=en_US&amp;offset=0&amp;query=any,contains,991000960769702656","Catalog Record")</f>
        <v/>
      </c>
      <c r="AT520">
        <f>HYPERLINK("http://www.worldcat.org/oclc/4318765","WorldCat Record")</f>
        <v/>
      </c>
    </row>
    <row r="521">
      <c r="A521" t="inlineStr">
        <is>
          <t>No</t>
        </is>
      </c>
      <c r="B521" t="inlineStr">
        <is>
          <t>QV 290 L941m 1977 v.1</t>
        </is>
      </c>
      <c r="C521" t="inlineStr">
        <is>
          <t>0                      QV 0290000L  941m        1977                                        v.1</t>
        </is>
      </c>
      <c r="D521" t="inlineStr">
        <is>
          <t>Metal toxicity in mammals / T.D. Luckey and B. Venugopal.</t>
        </is>
      </c>
      <c r="E521" t="inlineStr">
        <is>
          <t>V. 1</t>
        </is>
      </c>
      <c r="F521" t="inlineStr">
        <is>
          <t>Yes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Luckey, T. D. (Thomas D.), 1919-</t>
        </is>
      </c>
      <c r="L521" t="inlineStr">
        <is>
          <t>New York : Plenum Press, c1977.</t>
        </is>
      </c>
      <c r="M521" t="inlineStr">
        <is>
          <t>1977</t>
        </is>
      </c>
      <c r="O521" t="inlineStr">
        <is>
          <t>eng</t>
        </is>
      </c>
      <c r="P521" t="inlineStr">
        <is>
          <t>nyu</t>
        </is>
      </c>
      <c r="R521" t="inlineStr">
        <is>
          <t xml:space="preserve">QV </t>
        </is>
      </c>
      <c r="S521" t="n">
        <v>3</v>
      </c>
      <c r="T521" t="n">
        <v>6</v>
      </c>
      <c r="V521" t="inlineStr">
        <is>
          <t>2002-09-16</t>
        </is>
      </c>
      <c r="W521" t="inlineStr">
        <is>
          <t>1988-02-09</t>
        </is>
      </c>
      <c r="X521" t="inlineStr">
        <is>
          <t>1988-02-09</t>
        </is>
      </c>
      <c r="Y521" t="n">
        <v>383</v>
      </c>
      <c r="Z521" t="n">
        <v>295</v>
      </c>
      <c r="AA521" t="n">
        <v>299</v>
      </c>
      <c r="AB521" t="n">
        <v>2</v>
      </c>
      <c r="AC521" t="n">
        <v>2</v>
      </c>
      <c r="AD521" t="n">
        <v>7</v>
      </c>
      <c r="AE521" t="n">
        <v>7</v>
      </c>
      <c r="AF521" t="n">
        <v>1</v>
      </c>
      <c r="AG521" t="n">
        <v>1</v>
      </c>
      <c r="AH521" t="n">
        <v>4</v>
      </c>
      <c r="AI521" t="n">
        <v>4</v>
      </c>
      <c r="AJ521" t="n">
        <v>3</v>
      </c>
      <c r="AK521" t="n">
        <v>3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HYPERLINK("http://catalog.hathitrust.org/Record/000232255","HathiTrust Record")</f>
        <v/>
      </c>
      <c r="AS521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T521">
        <f>HYPERLINK("http://www.worldcat.org/oclc/2493549","WorldCat Record")</f>
        <v/>
      </c>
    </row>
    <row r="522">
      <c r="A522" t="inlineStr">
        <is>
          <t>No</t>
        </is>
      </c>
      <c r="B522" t="inlineStr">
        <is>
          <t>QV 290 L941m 1977 v.1</t>
        </is>
      </c>
      <c r="C522" t="inlineStr">
        <is>
          <t>0                      QV 0290000L  941m        1977                                        v.1</t>
        </is>
      </c>
      <c r="D522" t="inlineStr">
        <is>
          <t>Metal toxicity in mammals / T.D. Luckey and B. Venugopal.</t>
        </is>
      </c>
      <c r="E522" t="inlineStr">
        <is>
          <t>V. 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Luckey, T. D. (Thomas D.), 1919-</t>
        </is>
      </c>
      <c r="L522" t="inlineStr">
        <is>
          <t>New York : Plenum Press, c1977.</t>
        </is>
      </c>
      <c r="M522" t="inlineStr">
        <is>
          <t>1977</t>
        </is>
      </c>
      <c r="O522" t="inlineStr">
        <is>
          <t>eng</t>
        </is>
      </c>
      <c r="P522" t="inlineStr">
        <is>
          <t>nyu</t>
        </is>
      </c>
      <c r="R522" t="inlineStr">
        <is>
          <t xml:space="preserve">QV </t>
        </is>
      </c>
      <c r="S522" t="n">
        <v>3</v>
      </c>
      <c r="T522" t="n">
        <v>6</v>
      </c>
      <c r="U522" t="inlineStr">
        <is>
          <t>2002-09-16</t>
        </is>
      </c>
      <c r="V522" t="inlineStr">
        <is>
          <t>2002-09-16</t>
        </is>
      </c>
      <c r="W522" t="inlineStr">
        <is>
          <t>1988-02-09</t>
        </is>
      </c>
      <c r="X522" t="inlineStr">
        <is>
          <t>1988-02-09</t>
        </is>
      </c>
      <c r="Y522" t="n">
        <v>383</v>
      </c>
      <c r="Z522" t="n">
        <v>295</v>
      </c>
      <c r="AA522" t="n">
        <v>299</v>
      </c>
      <c r="AB522" t="n">
        <v>2</v>
      </c>
      <c r="AC522" t="n">
        <v>2</v>
      </c>
      <c r="AD522" t="n">
        <v>7</v>
      </c>
      <c r="AE522" t="n">
        <v>7</v>
      </c>
      <c r="AF522" t="n">
        <v>1</v>
      </c>
      <c r="AG522" t="n">
        <v>1</v>
      </c>
      <c r="AH522" t="n">
        <v>4</v>
      </c>
      <c r="AI522" t="n">
        <v>4</v>
      </c>
      <c r="AJ522" t="n">
        <v>3</v>
      </c>
      <c r="AK522" t="n">
        <v>3</v>
      </c>
      <c r="AL522" t="n">
        <v>1</v>
      </c>
      <c r="AM522" t="n">
        <v>1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HYPERLINK("http://catalog.hathitrust.org/Record/000232255","HathiTrust Record")</f>
        <v/>
      </c>
      <c r="AS522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T522">
        <f>HYPERLINK("http://www.worldcat.org/oclc/2493549","WorldCat Record")</f>
        <v/>
      </c>
    </row>
    <row r="523">
      <c r="A523" t="inlineStr">
        <is>
          <t>No</t>
        </is>
      </c>
      <c r="B523" t="inlineStr">
        <is>
          <t>QV290 M718 2001</t>
        </is>
      </c>
      <c r="C523" t="inlineStr">
        <is>
          <t>0                      QV 0290000M  718         2001</t>
        </is>
      </c>
      <c r="D523" t="inlineStr">
        <is>
          <t>Molecular mechanisms of metal toxicity and carcinogenesis / edited by Xianglin Shi... [et. al].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L523" t="inlineStr">
        <is>
          <t>Dordrecht ; Boston, MA : Kluwer Academic Pub., 2001.</t>
        </is>
      </c>
      <c r="M523" t="inlineStr">
        <is>
          <t>2001</t>
        </is>
      </c>
      <c r="O523" t="inlineStr">
        <is>
          <t>eng</t>
        </is>
      </c>
      <c r="P523" t="inlineStr">
        <is>
          <t xml:space="preserve">ne </t>
        </is>
      </c>
      <c r="Q523" t="inlineStr">
        <is>
          <t>Developments in molecular and cellular biochemistry ; v. 34</t>
        </is>
      </c>
      <c r="R523" t="inlineStr">
        <is>
          <t xml:space="preserve">QV </t>
        </is>
      </c>
      <c r="S523" t="n">
        <v>0</v>
      </c>
      <c r="T523" t="n">
        <v>0</v>
      </c>
      <c r="U523" t="inlineStr">
        <is>
          <t>2003-01-02</t>
        </is>
      </c>
      <c r="V523" t="inlineStr">
        <is>
          <t>2003-01-02</t>
        </is>
      </c>
      <c r="W523" t="inlineStr">
        <is>
          <t>2002-12-13</t>
        </is>
      </c>
      <c r="X523" t="inlineStr">
        <is>
          <t>2002-12-13</t>
        </is>
      </c>
      <c r="Y523" t="n">
        <v>29</v>
      </c>
      <c r="Z523" t="n">
        <v>20</v>
      </c>
      <c r="AA523" t="n">
        <v>52</v>
      </c>
      <c r="AB523" t="n">
        <v>1</v>
      </c>
      <c r="AC523" t="n">
        <v>1</v>
      </c>
      <c r="AD523" t="n">
        <v>0</v>
      </c>
      <c r="AE523" t="n">
        <v>3</v>
      </c>
      <c r="AF523" t="n">
        <v>0</v>
      </c>
      <c r="AG523" t="n">
        <v>2</v>
      </c>
      <c r="AH523" t="n">
        <v>0</v>
      </c>
      <c r="AI523" t="n">
        <v>1</v>
      </c>
      <c r="AJ523" t="n">
        <v>0</v>
      </c>
      <c r="AK523" t="n">
        <v>2</v>
      </c>
      <c r="AL523" t="n">
        <v>0</v>
      </c>
      <c r="AM523" t="n">
        <v>0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HYPERLINK("https://creighton-primo.hosted.exlibrisgroup.com/primo-explore/search?tab=default_tab&amp;search_scope=EVERYTHING&amp;vid=01CRU&amp;lang=en_US&amp;offset=0&amp;query=any,contains,991000333639702656","Catalog Record")</f>
        <v/>
      </c>
      <c r="AT523">
        <f>HYPERLINK("http://www.worldcat.org/oclc/47625407","WorldCat Record")</f>
        <v/>
      </c>
    </row>
    <row r="524">
      <c r="A524" t="inlineStr">
        <is>
          <t>No</t>
        </is>
      </c>
      <c r="B524" t="inlineStr">
        <is>
          <t>QV 290 T756 1979 pt.2</t>
        </is>
      </c>
      <c r="C524" t="inlineStr">
        <is>
          <t>0                      QV 0290000T  756         1979                                        pt.2</t>
        </is>
      </c>
      <c r="D524" t="inlineStr">
        <is>
          <t>Toxicity of heavy metals in the environment : part 2 / edited by Frederick W. Oehme.</t>
        </is>
      </c>
      <c r="E524" t="inlineStr">
        <is>
          <t>pt.2*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New York : M. Dekker, c1979.</t>
        </is>
      </c>
      <c r="M524" t="inlineStr">
        <is>
          <t>1979</t>
        </is>
      </c>
      <c r="O524" t="inlineStr">
        <is>
          <t>eng</t>
        </is>
      </c>
      <c r="P524" t="inlineStr">
        <is>
          <t>nyu</t>
        </is>
      </c>
      <c r="Q524" t="inlineStr">
        <is>
          <t>Hazardous and toxic substances ; 2</t>
        </is>
      </c>
      <c r="R524" t="inlineStr">
        <is>
          <t xml:space="preserve">QV </t>
        </is>
      </c>
      <c r="S524" t="n">
        <v>6</v>
      </c>
      <c r="T524" t="n">
        <v>6</v>
      </c>
      <c r="U524" t="inlineStr">
        <is>
          <t>2000-03-20</t>
        </is>
      </c>
      <c r="V524" t="inlineStr">
        <is>
          <t>2000-03-20</t>
        </is>
      </c>
      <c r="W524" t="inlineStr">
        <is>
          <t>1988-02-09</t>
        </is>
      </c>
      <c r="X524" t="inlineStr">
        <is>
          <t>1988-02-09</t>
        </is>
      </c>
      <c r="Y524" t="n">
        <v>317</v>
      </c>
      <c r="Z524" t="n">
        <v>232</v>
      </c>
      <c r="AA524" t="n">
        <v>240</v>
      </c>
      <c r="AB524" t="n">
        <v>2</v>
      </c>
      <c r="AC524" t="n">
        <v>2</v>
      </c>
      <c r="AD524" t="n">
        <v>4</v>
      </c>
      <c r="AE524" t="n">
        <v>4</v>
      </c>
      <c r="AF524" t="n">
        <v>1</v>
      </c>
      <c r="AG524" t="n">
        <v>1</v>
      </c>
      <c r="AH524" t="n">
        <v>2</v>
      </c>
      <c r="AI524" t="n">
        <v>2</v>
      </c>
      <c r="AJ524" t="n">
        <v>1</v>
      </c>
      <c r="AK524" t="n">
        <v>1</v>
      </c>
      <c r="AL524" t="n">
        <v>1</v>
      </c>
      <c r="AM524" t="n">
        <v>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HYPERLINK("http://catalog.hathitrust.org/Record/000039656","HathiTrust Record")</f>
        <v/>
      </c>
      <c r="AS524">
        <f>HYPERLINK("https://creighton-primo.hosted.exlibrisgroup.com/primo-explore/search?tab=default_tab&amp;search_scope=EVERYTHING&amp;vid=01CRU&amp;lang=en_US&amp;offset=0&amp;query=any,contains,991000960659702656","Catalog Record")</f>
        <v/>
      </c>
      <c r="AT524">
        <f>HYPERLINK("http://www.worldcat.org/oclc/4135489","WorldCat Record")</f>
        <v/>
      </c>
    </row>
    <row r="525">
      <c r="A525" t="inlineStr">
        <is>
          <t>No</t>
        </is>
      </c>
      <c r="B525" t="inlineStr">
        <is>
          <t>QV 292 L4344 1986</t>
        </is>
      </c>
      <c r="C525" t="inlineStr">
        <is>
          <t>0                      QV 0292000L  4344        1986</t>
        </is>
      </c>
      <c r="D525" t="inlineStr">
        <is>
          <t>Lead toxicity : history and environmental impact / edited by Richard Lansdown and William Yule.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Baltimore : Johns Hopkins University Press, c1986.</t>
        </is>
      </c>
      <c r="M525" t="inlineStr">
        <is>
          <t>1986</t>
        </is>
      </c>
      <c r="O525" t="inlineStr">
        <is>
          <t>eng</t>
        </is>
      </c>
      <c r="P525" t="inlineStr">
        <is>
          <t>mdu</t>
        </is>
      </c>
      <c r="Q525" t="inlineStr">
        <is>
          <t>The Johns Hopkins series in environmental toxicology</t>
        </is>
      </c>
      <c r="R525" t="inlineStr">
        <is>
          <t xml:space="preserve">QV </t>
        </is>
      </c>
      <c r="S525" t="n">
        <v>21</v>
      </c>
      <c r="T525" t="n">
        <v>21</v>
      </c>
      <c r="U525" t="inlineStr">
        <is>
          <t>2002-10-03</t>
        </is>
      </c>
      <c r="V525" t="inlineStr">
        <is>
          <t>2002-10-03</t>
        </is>
      </c>
      <c r="W525" t="inlineStr">
        <is>
          <t>1988-02-09</t>
        </is>
      </c>
      <c r="X525" t="inlineStr">
        <is>
          <t>1988-02-09</t>
        </is>
      </c>
      <c r="Y525" t="n">
        <v>292</v>
      </c>
      <c r="Z525" t="n">
        <v>256</v>
      </c>
      <c r="AA525" t="n">
        <v>257</v>
      </c>
      <c r="AB525" t="n">
        <v>3</v>
      </c>
      <c r="AC525" t="n">
        <v>3</v>
      </c>
      <c r="AD525" t="n">
        <v>10</v>
      </c>
      <c r="AE525" t="n">
        <v>10</v>
      </c>
      <c r="AF525" t="n">
        <v>3</v>
      </c>
      <c r="AG525" t="n">
        <v>3</v>
      </c>
      <c r="AH525" t="n">
        <v>2</v>
      </c>
      <c r="AI525" t="n">
        <v>2</v>
      </c>
      <c r="AJ525" t="n">
        <v>5</v>
      </c>
      <c r="AK525" t="n">
        <v>5</v>
      </c>
      <c r="AL525" t="n">
        <v>2</v>
      </c>
      <c r="AM525" t="n">
        <v>2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HYPERLINK("https://creighton-primo.hosted.exlibrisgroup.com/primo-explore/search?tab=default_tab&amp;search_scope=EVERYTHING&amp;vid=01CRU&amp;lang=en_US&amp;offset=0&amp;query=any,contains,991001267659702656","Catalog Record")</f>
        <v/>
      </c>
      <c r="AT525">
        <f>HYPERLINK("http://www.worldcat.org/oclc/13270835","WorldCat Record")</f>
        <v/>
      </c>
    </row>
    <row r="526">
      <c r="A526" t="inlineStr">
        <is>
          <t>No</t>
        </is>
      </c>
      <c r="B526" t="inlineStr">
        <is>
          <t>QV 310 K244m 1962</t>
        </is>
      </c>
      <c r="C526" t="inlineStr">
        <is>
          <t>0                      QV 0310000K  244m        1962</t>
        </is>
      </c>
      <c r="D526" t="inlineStr">
        <is>
          <t>Microaerosols : physiology, pharmacology, therapeutics.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Dautrebande, Lucien.</t>
        </is>
      </c>
      <c r="L526" t="inlineStr">
        <is>
          <t>New York : Academic Press, 1962.</t>
        </is>
      </c>
      <c r="M526" t="inlineStr">
        <is>
          <t>1962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QV </t>
        </is>
      </c>
      <c r="S526" t="n">
        <v>5</v>
      </c>
      <c r="T526" t="n">
        <v>5</v>
      </c>
      <c r="U526" t="inlineStr">
        <is>
          <t>1991-01-31</t>
        </is>
      </c>
      <c r="V526" t="inlineStr">
        <is>
          <t>1991-01-31</t>
        </is>
      </c>
      <c r="W526" t="inlineStr">
        <is>
          <t>1988-03-17</t>
        </is>
      </c>
      <c r="X526" t="inlineStr">
        <is>
          <t>1988-03-17</t>
        </is>
      </c>
      <c r="Y526" t="n">
        <v>147</v>
      </c>
      <c r="Z526" t="n">
        <v>107</v>
      </c>
      <c r="AA526" t="n">
        <v>168</v>
      </c>
      <c r="AB526" t="n">
        <v>1</v>
      </c>
      <c r="AC526" t="n">
        <v>2</v>
      </c>
      <c r="AD526" t="n">
        <v>2</v>
      </c>
      <c r="AE526" t="n">
        <v>8</v>
      </c>
      <c r="AF526" t="n">
        <v>1</v>
      </c>
      <c r="AG526" t="n">
        <v>3</v>
      </c>
      <c r="AH526" t="n">
        <v>0</v>
      </c>
      <c r="AI526" t="n">
        <v>3</v>
      </c>
      <c r="AJ526" t="n">
        <v>1</v>
      </c>
      <c r="AK526" t="n">
        <v>2</v>
      </c>
      <c r="AL526" t="n">
        <v>0</v>
      </c>
      <c r="AM526" t="n">
        <v>1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HYPERLINK("http://catalog.hathitrust.org/Record/001588093","HathiTrust Record")</f>
        <v/>
      </c>
      <c r="AS526">
        <f>HYPERLINK("https://creighton-primo.hosted.exlibrisgroup.com/primo-explore/search?tab=default_tab&amp;search_scope=EVERYTHING&amp;vid=01CRU&amp;lang=en_US&amp;offset=0&amp;query=any,contains,991000961629702656","Catalog Record")</f>
        <v/>
      </c>
      <c r="AT526">
        <f>HYPERLINK("http://www.worldcat.org/oclc/14603983","WorldCat Record")</f>
        <v/>
      </c>
    </row>
    <row r="527">
      <c r="A527" t="inlineStr">
        <is>
          <t>No</t>
        </is>
      </c>
      <c r="B527" t="inlineStr">
        <is>
          <t>QV 312 B6152 1992</t>
        </is>
      </c>
      <c r="C527" t="inlineStr">
        <is>
          <t>0                      QV 0312000B  6152        1992</t>
        </is>
      </c>
      <c r="D527" t="inlineStr">
        <is>
          <t>Biological consequences of oxidative stress : implications for cardiovascular disease and carcinogenesis / edited by Lawrence Spatz, Arthur D. Bloom.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New York : Oxford University Press, c1992.</t>
        </is>
      </c>
      <c r="M527" t="inlineStr">
        <is>
          <t>1992</t>
        </is>
      </c>
      <c r="O527" t="inlineStr">
        <is>
          <t>eng</t>
        </is>
      </c>
      <c r="P527" t="inlineStr">
        <is>
          <t>nyu</t>
        </is>
      </c>
      <c r="Q527" t="inlineStr">
        <is>
          <t>The Conte Institute series ; 1.</t>
        </is>
      </c>
      <c r="R527" t="inlineStr">
        <is>
          <t xml:space="preserve">QV </t>
        </is>
      </c>
      <c r="S527" t="n">
        <v>6</v>
      </c>
      <c r="T527" t="n">
        <v>6</v>
      </c>
      <c r="U527" t="inlineStr">
        <is>
          <t>2000-04-14</t>
        </is>
      </c>
      <c r="V527" t="inlineStr">
        <is>
          <t>2000-04-14</t>
        </is>
      </c>
      <c r="W527" t="inlineStr">
        <is>
          <t>1993-08-27</t>
        </is>
      </c>
      <c r="X527" t="inlineStr">
        <is>
          <t>1993-08-27</t>
        </is>
      </c>
      <c r="Y527" t="n">
        <v>117</v>
      </c>
      <c r="Z527" t="n">
        <v>78</v>
      </c>
      <c r="AA527" t="n">
        <v>85</v>
      </c>
      <c r="AB527" t="n">
        <v>1</v>
      </c>
      <c r="AC527" t="n">
        <v>1</v>
      </c>
      <c r="AD527" t="n">
        <v>3</v>
      </c>
      <c r="AE527" t="n">
        <v>3</v>
      </c>
      <c r="AF527" t="n">
        <v>1</v>
      </c>
      <c r="AG527" t="n">
        <v>1</v>
      </c>
      <c r="AH527" t="n">
        <v>0</v>
      </c>
      <c r="AI527" t="n">
        <v>0</v>
      </c>
      <c r="AJ527" t="n">
        <v>3</v>
      </c>
      <c r="AK527" t="n">
        <v>3</v>
      </c>
      <c r="AL527" t="n">
        <v>0</v>
      </c>
      <c r="AM527" t="n">
        <v>0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HYPERLINK("http://catalog.hathitrust.org/Record/002559323","HathiTrust Record")</f>
        <v/>
      </c>
      <c r="AS527">
        <f>HYPERLINK("https://creighton-primo.hosted.exlibrisgroup.com/primo-explore/search?tab=default_tab&amp;search_scope=EVERYTHING&amp;vid=01CRU&amp;lang=en_US&amp;offset=0&amp;query=any,contains,991001510459702656","Catalog Record")</f>
        <v/>
      </c>
      <c r="AT527">
        <f>HYPERLINK("http://www.worldcat.org/oclc/24378648","WorldCat Record")</f>
        <v/>
      </c>
    </row>
    <row r="528">
      <c r="A528" t="inlineStr">
        <is>
          <t>No</t>
        </is>
      </c>
      <c r="B528" t="inlineStr">
        <is>
          <t>QV 312 B61526 1992</t>
        </is>
      </c>
      <c r="C528" t="inlineStr">
        <is>
          <t>0                      QV 0312000B  61526       1992</t>
        </is>
      </c>
      <c r="D528" t="inlineStr">
        <is>
          <t>Biological oxidants : generation and injurious consequences / edited by Charles G. Cochrane, Michael A. Gimbrone, Jr.</t>
        </is>
      </c>
      <c r="F528" t="inlineStr">
        <is>
          <t>No</t>
        </is>
      </c>
      <c r="G528" t="inlineStr">
        <is>
          <t>1</t>
        </is>
      </c>
      <c r="H528" t="inlineStr">
        <is>
          <t>Yes</t>
        </is>
      </c>
      <c r="I528" t="inlineStr">
        <is>
          <t>No</t>
        </is>
      </c>
      <c r="J528" t="inlineStr">
        <is>
          <t>0</t>
        </is>
      </c>
      <c r="L528" t="inlineStr">
        <is>
          <t>San Diego : Academic Press, c1992.</t>
        </is>
      </c>
      <c r="M528" t="inlineStr">
        <is>
          <t>1992</t>
        </is>
      </c>
      <c r="O528" t="inlineStr">
        <is>
          <t>eng</t>
        </is>
      </c>
      <c r="P528" t="inlineStr">
        <is>
          <t>xxu</t>
        </is>
      </c>
      <c r="Q528" t="inlineStr">
        <is>
          <t>Cellular and molecular mechanisms of inflammation, 1052-582 ; v. 4</t>
        </is>
      </c>
      <c r="R528" t="inlineStr">
        <is>
          <t xml:space="preserve">QV </t>
        </is>
      </c>
      <c r="S528" t="n">
        <v>6</v>
      </c>
      <c r="T528" t="n">
        <v>6</v>
      </c>
      <c r="U528" t="inlineStr">
        <is>
          <t>2002-10-21</t>
        </is>
      </c>
      <c r="V528" t="inlineStr">
        <is>
          <t>2002-10-21</t>
        </is>
      </c>
      <c r="W528" t="inlineStr">
        <is>
          <t>1993-08-27</t>
        </is>
      </c>
      <c r="X528" t="inlineStr">
        <is>
          <t>1993-08-27</t>
        </is>
      </c>
      <c r="Y528" t="n">
        <v>98</v>
      </c>
      <c r="Z528" t="n">
        <v>68</v>
      </c>
      <c r="AA528" t="n">
        <v>111</v>
      </c>
      <c r="AB528" t="n">
        <v>2</v>
      </c>
      <c r="AC528" t="n">
        <v>2</v>
      </c>
      <c r="AD528" t="n">
        <v>1</v>
      </c>
      <c r="AE528" t="n">
        <v>4</v>
      </c>
      <c r="AF528" t="n">
        <v>0</v>
      </c>
      <c r="AG528" t="n">
        <v>2</v>
      </c>
      <c r="AH528" t="n">
        <v>0</v>
      </c>
      <c r="AI528" t="n">
        <v>2</v>
      </c>
      <c r="AJ528" t="n">
        <v>1</v>
      </c>
      <c r="AK528" t="n">
        <v>1</v>
      </c>
      <c r="AL528" t="n">
        <v>0</v>
      </c>
      <c r="AM528" t="n">
        <v>0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HYPERLINK("https://creighton-primo.hosted.exlibrisgroup.com/primo-explore/search?tab=default_tab&amp;search_scope=EVERYTHING&amp;vid=01CRU&amp;lang=en_US&amp;offset=0&amp;query=any,contains,991001510399702656","Catalog Record")</f>
        <v/>
      </c>
      <c r="AT528">
        <f>HYPERLINK("http://www.worldcat.org/oclc/27196220","WorldCat Record")</f>
        <v/>
      </c>
    </row>
    <row r="529">
      <c r="A529" t="inlineStr">
        <is>
          <t>No</t>
        </is>
      </c>
      <c r="B529" t="inlineStr">
        <is>
          <t>QV 312 C738p 1950</t>
        </is>
      </c>
      <c r="C529" t="inlineStr">
        <is>
          <t>0                      QV 0312000C  738p        1950</t>
        </is>
      </c>
      <c r="D529" t="inlineStr">
        <is>
          <t>Physiological basis for oxygen therapy / by Julius H. Comroe, Jr. and Robert D. Dripps.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Comroe, Julius H. (Julius Hiram), 1911-</t>
        </is>
      </c>
      <c r="L529" t="inlineStr">
        <is>
          <t>Springfield, Ill. : Thomas, [1950]</t>
        </is>
      </c>
      <c r="M529" t="inlineStr">
        <is>
          <t>1950</t>
        </is>
      </c>
      <c r="O529" t="inlineStr">
        <is>
          <t>eng</t>
        </is>
      </c>
      <c r="P529" t="inlineStr">
        <is>
          <t xml:space="preserve">xx </t>
        </is>
      </c>
      <c r="Q529" t="inlineStr">
        <is>
          <t>American lecture series, publication no. 42. American lectures in physiology</t>
        </is>
      </c>
      <c r="R529" t="inlineStr">
        <is>
          <t xml:space="preserve">QV </t>
        </is>
      </c>
      <c r="S529" t="n">
        <v>1</v>
      </c>
      <c r="T529" t="n">
        <v>1</v>
      </c>
      <c r="U529" t="inlineStr">
        <is>
          <t>2000-04-14</t>
        </is>
      </c>
      <c r="V529" t="inlineStr">
        <is>
          <t>2000-04-14</t>
        </is>
      </c>
      <c r="W529" t="inlineStr">
        <is>
          <t>1988-03-17</t>
        </is>
      </c>
      <c r="X529" t="inlineStr">
        <is>
          <t>1988-03-17</t>
        </is>
      </c>
      <c r="Y529" t="n">
        <v>94</v>
      </c>
      <c r="Z529" t="n">
        <v>71</v>
      </c>
      <c r="AA529" t="n">
        <v>75</v>
      </c>
      <c r="AB529" t="n">
        <v>1</v>
      </c>
      <c r="AC529" t="n">
        <v>1</v>
      </c>
      <c r="AD529" t="n">
        <v>2</v>
      </c>
      <c r="AE529" t="n">
        <v>2</v>
      </c>
      <c r="AF529" t="n">
        <v>1</v>
      </c>
      <c r="AG529" t="n">
        <v>1</v>
      </c>
      <c r="AH529" t="n">
        <v>0</v>
      </c>
      <c r="AI529" t="n">
        <v>0</v>
      </c>
      <c r="AJ529" t="n">
        <v>1</v>
      </c>
      <c r="AK529" t="n">
        <v>1</v>
      </c>
      <c r="AL529" t="n">
        <v>0</v>
      </c>
      <c r="AM529" t="n">
        <v>0</v>
      </c>
      <c r="AN529" t="n">
        <v>0</v>
      </c>
      <c r="AO529" t="n">
        <v>0</v>
      </c>
      <c r="AP529" t="inlineStr">
        <is>
          <t>No</t>
        </is>
      </c>
      <c r="AQ529" t="inlineStr">
        <is>
          <t>No</t>
        </is>
      </c>
      <c r="AR529">
        <f>HYPERLINK("http://catalog.hathitrust.org/Record/000852967","HathiTrust Record")</f>
        <v/>
      </c>
      <c r="AS529">
        <f>HYPERLINK("https://creighton-primo.hosted.exlibrisgroup.com/primo-explore/search?tab=default_tab&amp;search_scope=EVERYTHING&amp;vid=01CRU&amp;lang=en_US&amp;offset=0&amp;query=any,contains,991000961549702656","Catalog Record")</f>
        <v/>
      </c>
      <c r="AT529">
        <f>HYPERLINK("http://www.worldcat.org/oclc/2688911","WorldCat Record")</f>
        <v/>
      </c>
    </row>
    <row r="530">
      <c r="A530" t="inlineStr">
        <is>
          <t>No</t>
        </is>
      </c>
      <c r="B530" t="inlineStr">
        <is>
          <t>QV 312 F853 1992</t>
        </is>
      </c>
      <c r="C530" t="inlineStr">
        <is>
          <t>0                      QV 0312000F  853         1992</t>
        </is>
      </c>
      <c r="D530" t="inlineStr">
        <is>
          <t>Free radical mechanisms of tissue injury / editors, Mary Treinen Moslen, Charles V. Smith.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L530" t="inlineStr">
        <is>
          <t>Ann Arbor : CRC Press, c1992.</t>
        </is>
      </c>
      <c r="M530" t="inlineStr">
        <is>
          <t>1992</t>
        </is>
      </c>
      <c r="O530" t="inlineStr">
        <is>
          <t>eng</t>
        </is>
      </c>
      <c r="P530" t="inlineStr">
        <is>
          <t>miu</t>
        </is>
      </c>
      <c r="R530" t="inlineStr">
        <is>
          <t xml:space="preserve">QV </t>
        </is>
      </c>
      <c r="S530" t="n">
        <v>11</v>
      </c>
      <c r="T530" t="n">
        <v>11</v>
      </c>
      <c r="U530" t="inlineStr">
        <is>
          <t>2000-04-14</t>
        </is>
      </c>
      <c r="V530" t="inlineStr">
        <is>
          <t>2000-04-14</t>
        </is>
      </c>
      <c r="W530" t="inlineStr">
        <is>
          <t>1992-04-09</t>
        </is>
      </c>
      <c r="X530" t="inlineStr">
        <is>
          <t>1992-04-09</t>
        </is>
      </c>
      <c r="Y530" t="n">
        <v>138</v>
      </c>
      <c r="Z530" t="n">
        <v>108</v>
      </c>
      <c r="AA530" t="n">
        <v>108</v>
      </c>
      <c r="AB530" t="n">
        <v>2</v>
      </c>
      <c r="AC530" t="n">
        <v>2</v>
      </c>
      <c r="AD530" t="n">
        <v>4</v>
      </c>
      <c r="AE530" t="n">
        <v>4</v>
      </c>
      <c r="AF530" t="n">
        <v>1</v>
      </c>
      <c r="AG530" t="n">
        <v>1</v>
      </c>
      <c r="AH530" t="n">
        <v>1</v>
      </c>
      <c r="AI530" t="n">
        <v>1</v>
      </c>
      <c r="AJ530" t="n">
        <v>1</v>
      </c>
      <c r="AK530" t="n">
        <v>1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HYPERLINK("https://creighton-primo.hosted.exlibrisgroup.com/primo-explore/search?tab=default_tab&amp;search_scope=EVERYTHING&amp;vid=01CRU&amp;lang=en_US&amp;offset=0&amp;query=any,contains,991001301709702656","Catalog Record")</f>
        <v/>
      </c>
      <c r="AT530">
        <f>HYPERLINK("http://www.worldcat.org/oclc/24318415","WorldCat Record")</f>
        <v/>
      </c>
    </row>
    <row r="531">
      <c r="A531" t="inlineStr">
        <is>
          <t>No</t>
        </is>
      </c>
      <c r="B531" t="inlineStr">
        <is>
          <t>QV 312 O9515 1997</t>
        </is>
      </c>
      <c r="C531" t="inlineStr">
        <is>
          <t>0                      QV 0312000O  9515        1997</t>
        </is>
      </c>
      <c r="D531" t="inlineStr">
        <is>
          <t>Oxidative stress and the molecular biology of antioxidant defenses / edited by John G. Scandalios.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L531" t="inlineStr">
        <is>
          <t>Plainview, N.Y. : Cold Spring Harbor Laboratory Press, c1997.</t>
        </is>
      </c>
      <c r="M531" t="inlineStr">
        <is>
          <t>1997</t>
        </is>
      </c>
      <c r="O531" t="inlineStr">
        <is>
          <t>eng</t>
        </is>
      </c>
      <c r="P531" t="inlineStr">
        <is>
          <t>nyu</t>
        </is>
      </c>
      <c r="Q531" t="inlineStr">
        <is>
          <t>Cold Spring Harbor monograph series ; 34</t>
        </is>
      </c>
      <c r="R531" t="inlineStr">
        <is>
          <t xml:space="preserve">QV </t>
        </is>
      </c>
      <c r="S531" t="n">
        <v>19</v>
      </c>
      <c r="T531" t="n">
        <v>19</v>
      </c>
      <c r="U531" t="inlineStr">
        <is>
          <t>2005-08-25</t>
        </is>
      </c>
      <c r="V531" t="inlineStr">
        <is>
          <t>2005-08-25</t>
        </is>
      </c>
      <c r="W531" t="inlineStr">
        <is>
          <t>1998-02-27</t>
        </is>
      </c>
      <c r="X531" t="inlineStr">
        <is>
          <t>1998-02-27</t>
        </is>
      </c>
      <c r="Y531" t="n">
        <v>229</v>
      </c>
      <c r="Z531" t="n">
        <v>163</v>
      </c>
      <c r="AA531" t="n">
        <v>173</v>
      </c>
      <c r="AB531" t="n">
        <v>2</v>
      </c>
      <c r="AC531" t="n">
        <v>2</v>
      </c>
      <c r="AD531" t="n">
        <v>6</v>
      </c>
      <c r="AE531" t="n">
        <v>7</v>
      </c>
      <c r="AF531" t="n">
        <v>1</v>
      </c>
      <c r="AG531" t="n">
        <v>1</v>
      </c>
      <c r="AH531" t="n">
        <v>2</v>
      </c>
      <c r="AI531" t="n">
        <v>3</v>
      </c>
      <c r="AJ531" t="n">
        <v>3</v>
      </c>
      <c r="AK531" t="n">
        <v>4</v>
      </c>
      <c r="AL531" t="n">
        <v>1</v>
      </c>
      <c r="AM531" t="n">
        <v>1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HYPERLINK("https://creighton-primo.hosted.exlibrisgroup.com/primo-explore/search?tab=default_tab&amp;search_scope=EVERYTHING&amp;vid=01CRU&amp;lang=en_US&amp;offset=0&amp;query=any,contains,991001564139702656","Catalog Record")</f>
        <v/>
      </c>
      <c r="AT531">
        <f>HYPERLINK("http://www.worldcat.org/oclc/36459080","WorldCat Record")</f>
        <v/>
      </c>
    </row>
    <row r="532">
      <c r="A532" t="inlineStr">
        <is>
          <t>No</t>
        </is>
      </c>
      <c r="B532" t="inlineStr">
        <is>
          <t>QV 312 O9558 1993</t>
        </is>
      </c>
      <c r="C532" t="inlineStr">
        <is>
          <t>0                      QV 0312000O  9558        1993</t>
        </is>
      </c>
      <c r="D532" t="inlineStr">
        <is>
          <t>Oxygen free radicals in tissue damage / Merrill Tarr, Fred Samson, editors.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L532" t="inlineStr">
        <is>
          <t>Boston : Birkhäuser, c1993.</t>
        </is>
      </c>
      <c r="M532" t="inlineStr">
        <is>
          <t>1993</t>
        </is>
      </c>
      <c r="O532" t="inlineStr">
        <is>
          <t>eng</t>
        </is>
      </c>
      <c r="P532" t="inlineStr">
        <is>
          <t>mau</t>
        </is>
      </c>
      <c r="R532" t="inlineStr">
        <is>
          <t xml:space="preserve">QV </t>
        </is>
      </c>
      <c r="S532" t="n">
        <v>9</v>
      </c>
      <c r="T532" t="n">
        <v>9</v>
      </c>
      <c r="U532" t="inlineStr">
        <is>
          <t>2001-02-21</t>
        </is>
      </c>
      <c r="V532" t="inlineStr">
        <is>
          <t>2001-02-21</t>
        </is>
      </c>
      <c r="W532" t="inlineStr">
        <is>
          <t>1993-08-31</t>
        </is>
      </c>
      <c r="X532" t="inlineStr">
        <is>
          <t>1993-08-31</t>
        </is>
      </c>
      <c r="Y532" t="n">
        <v>126</v>
      </c>
      <c r="Z532" t="n">
        <v>77</v>
      </c>
      <c r="AA532" t="n">
        <v>104</v>
      </c>
      <c r="AB532" t="n">
        <v>2</v>
      </c>
      <c r="AC532" t="n">
        <v>2</v>
      </c>
      <c r="AD532" t="n">
        <v>4</v>
      </c>
      <c r="AE532" t="n">
        <v>4</v>
      </c>
      <c r="AF532" t="n">
        <v>1</v>
      </c>
      <c r="AG532" t="n">
        <v>1</v>
      </c>
      <c r="AH532" t="n">
        <v>1</v>
      </c>
      <c r="AI532" t="n">
        <v>1</v>
      </c>
      <c r="AJ532" t="n">
        <v>2</v>
      </c>
      <c r="AK532" t="n">
        <v>2</v>
      </c>
      <c r="AL532" t="n">
        <v>1</v>
      </c>
      <c r="AM532" t="n">
        <v>1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HYPERLINK("http://catalog.hathitrust.org/Record/002606197","HathiTrust Record")</f>
        <v/>
      </c>
      <c r="AS532">
        <f>HYPERLINK("https://creighton-primo.hosted.exlibrisgroup.com/primo-explore/search?tab=default_tab&amp;search_scope=EVERYTHING&amp;vid=01CRU&amp;lang=en_US&amp;offset=0&amp;query=any,contains,991001512209702656","Catalog Record")</f>
        <v/>
      </c>
      <c r="AT532">
        <f>HYPERLINK("http://www.worldcat.org/oclc/26220030","WorldCat Record")</f>
        <v/>
      </c>
    </row>
    <row r="533">
      <c r="A533" t="inlineStr">
        <is>
          <t>No</t>
        </is>
      </c>
      <c r="B533" t="inlineStr">
        <is>
          <t>QV 312 O9664 1988</t>
        </is>
      </c>
      <c r="C533" t="inlineStr">
        <is>
          <t>0                      QV 0312000O  9664        1988</t>
        </is>
      </c>
      <c r="D533" t="inlineStr">
        <is>
          <t>Oxygen radicals in the pathophysiology of heart disease / edited by Pawan K. Singal.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L533" t="inlineStr">
        <is>
          <t>Boston : Nijhoff ; Norwell, MA : Distributors for the U.S. and Canada, Kluwer Academic Publishers, c1988.</t>
        </is>
      </c>
      <c r="M533" t="inlineStr">
        <is>
          <t>1988</t>
        </is>
      </c>
      <c r="O533" t="inlineStr">
        <is>
          <t>eng</t>
        </is>
      </c>
      <c r="P533" t="inlineStr">
        <is>
          <t>xxu</t>
        </is>
      </c>
      <c r="Q533" t="inlineStr">
        <is>
          <t>Developments in cardiovascular medicine</t>
        </is>
      </c>
      <c r="R533" t="inlineStr">
        <is>
          <t xml:space="preserve">QV </t>
        </is>
      </c>
      <c r="S533" t="n">
        <v>9</v>
      </c>
      <c r="T533" t="n">
        <v>9</v>
      </c>
      <c r="U533" t="inlineStr">
        <is>
          <t>2000-04-14</t>
        </is>
      </c>
      <c r="V533" t="inlineStr">
        <is>
          <t>2000-04-14</t>
        </is>
      </c>
      <c r="W533" t="inlineStr">
        <is>
          <t>1988-07-25</t>
        </is>
      </c>
      <c r="X533" t="inlineStr">
        <is>
          <t>1988-07-25</t>
        </is>
      </c>
      <c r="Y533" t="n">
        <v>77</v>
      </c>
      <c r="Z533" t="n">
        <v>51</v>
      </c>
      <c r="AA533" t="n">
        <v>74</v>
      </c>
      <c r="AB533" t="n">
        <v>1</v>
      </c>
      <c r="AC533" t="n">
        <v>1</v>
      </c>
      <c r="AD533" t="n">
        <v>1</v>
      </c>
      <c r="AE533" t="n">
        <v>1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1</v>
      </c>
      <c r="AL533" t="n">
        <v>0</v>
      </c>
      <c r="AM533" t="n">
        <v>0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HYPERLINK("http://catalog.hathitrust.org/Record/000905964","HathiTrust Record")</f>
        <v/>
      </c>
      <c r="AS533">
        <f>HYPERLINK("https://creighton-primo.hosted.exlibrisgroup.com/primo-explore/search?tab=default_tab&amp;search_scope=EVERYTHING&amp;vid=01CRU&amp;lang=en_US&amp;offset=0&amp;query=any,contains,991001418989702656","Catalog Record")</f>
        <v/>
      </c>
      <c r="AT533">
        <f>HYPERLINK("http://www.worldcat.org/oclc/17508940","WorldCat Record")</f>
        <v/>
      </c>
    </row>
    <row r="534">
      <c r="A534" t="inlineStr">
        <is>
          <t>No</t>
        </is>
      </c>
      <c r="B534" t="inlineStr">
        <is>
          <t>QV 312 O9675 1998</t>
        </is>
      </c>
      <c r="C534" t="inlineStr">
        <is>
          <t>0                      QV 0312000O  9675        1998</t>
        </is>
      </c>
      <c r="D534" t="inlineStr">
        <is>
          <t>Oxygen regulation of ion channels and gene expression / edited by José López-Barneo, E. Kenneth Weir.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Armonk, N.Y. : Futura Pub., c1998.</t>
        </is>
      </c>
      <c r="M534" t="inlineStr">
        <is>
          <t>1998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QV </t>
        </is>
      </c>
      <c r="S534" t="n">
        <v>3</v>
      </c>
      <c r="T534" t="n">
        <v>3</v>
      </c>
      <c r="U534" t="inlineStr">
        <is>
          <t>2000-04-07</t>
        </is>
      </c>
      <c r="V534" t="inlineStr">
        <is>
          <t>2000-04-07</t>
        </is>
      </c>
      <c r="W534" t="inlineStr">
        <is>
          <t>2000-03-03</t>
        </is>
      </c>
      <c r="X534" t="inlineStr">
        <is>
          <t>2000-03-03</t>
        </is>
      </c>
      <c r="Y534" t="n">
        <v>90</v>
      </c>
      <c r="Z534" t="n">
        <v>73</v>
      </c>
      <c r="AA534" t="n">
        <v>78</v>
      </c>
      <c r="AB534" t="n">
        <v>2</v>
      </c>
      <c r="AC534" t="n">
        <v>2</v>
      </c>
      <c r="AD534" t="n">
        <v>4</v>
      </c>
      <c r="AE534" t="n">
        <v>4</v>
      </c>
      <c r="AF534" t="n">
        <v>0</v>
      </c>
      <c r="AG534" t="n">
        <v>0</v>
      </c>
      <c r="AH534" t="n">
        <v>3</v>
      </c>
      <c r="AI534" t="n">
        <v>3</v>
      </c>
      <c r="AJ534" t="n">
        <v>1</v>
      </c>
      <c r="AK534" t="n">
        <v>1</v>
      </c>
      <c r="AL534" t="n">
        <v>1</v>
      </c>
      <c r="AM534" t="n">
        <v>1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HYPERLINK("https://creighton-primo.hosted.exlibrisgroup.com/primo-explore/search?tab=default_tab&amp;search_scope=EVERYTHING&amp;vid=01CRU&amp;lang=en_US&amp;offset=0&amp;query=any,contains,991000500899702656","Catalog Record")</f>
        <v/>
      </c>
      <c r="AT534">
        <f>HYPERLINK("http://www.worldcat.org/oclc/38105647","WorldCat Record")</f>
        <v/>
      </c>
    </row>
    <row r="535">
      <c r="A535" t="inlineStr">
        <is>
          <t>No</t>
        </is>
      </c>
      <c r="B535" t="inlineStr">
        <is>
          <t>QV 312 O968 1988</t>
        </is>
      </c>
      <c r="C535" t="inlineStr">
        <is>
          <t>0                      QV 0312000O  968         1988</t>
        </is>
      </c>
      <c r="D535" t="inlineStr">
        <is>
          <t>Oxygen sensing in tissues / Helmut Acker (editor).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Berlin ; New York : Springer-Verlag, c1988.</t>
        </is>
      </c>
      <c r="M535" t="inlineStr">
        <is>
          <t>1988</t>
        </is>
      </c>
      <c r="O535" t="inlineStr">
        <is>
          <t>eng</t>
        </is>
      </c>
      <c r="P535" t="inlineStr">
        <is>
          <t xml:space="preserve">gw </t>
        </is>
      </c>
      <c r="R535" t="inlineStr">
        <is>
          <t xml:space="preserve">QV </t>
        </is>
      </c>
      <c r="S535" t="n">
        <v>3</v>
      </c>
      <c r="T535" t="n">
        <v>3</v>
      </c>
      <c r="U535" t="inlineStr">
        <is>
          <t>2000-04-14</t>
        </is>
      </c>
      <c r="V535" t="inlineStr">
        <is>
          <t>2000-04-14</t>
        </is>
      </c>
      <c r="W535" t="inlineStr">
        <is>
          <t>1988-12-15</t>
        </is>
      </c>
      <c r="X535" t="inlineStr">
        <is>
          <t>1988-12-15</t>
        </is>
      </c>
      <c r="Y535" t="n">
        <v>131</v>
      </c>
      <c r="Z535" t="n">
        <v>97</v>
      </c>
      <c r="AA535" t="n">
        <v>116</v>
      </c>
      <c r="AB535" t="n">
        <v>1</v>
      </c>
      <c r="AC535" t="n">
        <v>1</v>
      </c>
      <c r="AD535" t="n">
        <v>2</v>
      </c>
      <c r="AE535" t="n">
        <v>3</v>
      </c>
      <c r="AF535" t="n">
        <v>0</v>
      </c>
      <c r="AG535" t="n">
        <v>1</v>
      </c>
      <c r="AH535" t="n">
        <v>2</v>
      </c>
      <c r="AI535" t="n">
        <v>2</v>
      </c>
      <c r="AJ535" t="n">
        <v>1</v>
      </c>
      <c r="AK535" t="n">
        <v>2</v>
      </c>
      <c r="AL535" t="n">
        <v>0</v>
      </c>
      <c r="AM535" t="n">
        <v>0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HYPERLINK("http://catalog.hathitrust.org/Record/000944536","HathiTrust Record")</f>
        <v/>
      </c>
      <c r="AS535">
        <f>HYPERLINK("https://creighton-primo.hosted.exlibrisgroup.com/primo-explore/search?tab=default_tab&amp;search_scope=EVERYTHING&amp;vid=01CRU&amp;lang=en_US&amp;offset=0&amp;query=any,contains,991001105509702656","Catalog Record")</f>
        <v/>
      </c>
      <c r="AT535">
        <f>HYPERLINK("http://www.worldcat.org/oclc/17841534","WorldCat Record")</f>
        <v/>
      </c>
    </row>
    <row r="536">
      <c r="A536" t="inlineStr">
        <is>
          <t>No</t>
        </is>
      </c>
      <c r="B536" t="inlineStr">
        <is>
          <t>QV 312 O98 1987</t>
        </is>
      </c>
      <c r="C536" t="inlineStr">
        <is>
          <t>0                      QV 0312000O  98          1987</t>
        </is>
      </c>
      <c r="D536" t="inlineStr">
        <is>
          <t>Oxygen radicals and tissue injury : proceedings of a Brook Lodge symposium, Augusta, Michigan, U.S.A., April 27 to 29, 1987 / Barry Halliwell, editor.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L536" t="inlineStr">
        <is>
          <t>Bethesda, MD, U.S.A. : Published for the Upjohn Company by the Federation of American Societies of Experimental Biology, c1988.</t>
        </is>
      </c>
      <c r="M536" t="inlineStr">
        <is>
          <t>1988</t>
        </is>
      </c>
      <c r="O536" t="inlineStr">
        <is>
          <t>eng</t>
        </is>
      </c>
      <c r="P536" t="inlineStr">
        <is>
          <t>mdu</t>
        </is>
      </c>
      <c r="R536" t="inlineStr">
        <is>
          <t xml:space="preserve">QV </t>
        </is>
      </c>
      <c r="S536" t="n">
        <v>7</v>
      </c>
      <c r="T536" t="n">
        <v>7</v>
      </c>
      <c r="U536" t="inlineStr">
        <is>
          <t>2000-04-14</t>
        </is>
      </c>
      <c r="V536" t="inlineStr">
        <is>
          <t>2000-04-14</t>
        </is>
      </c>
      <c r="W536" t="inlineStr">
        <is>
          <t>1989-11-03</t>
        </is>
      </c>
      <c r="X536" t="inlineStr">
        <is>
          <t>1989-11-03</t>
        </is>
      </c>
      <c r="Y536" t="n">
        <v>338</v>
      </c>
      <c r="Z536" t="n">
        <v>242</v>
      </c>
      <c r="AA536" t="n">
        <v>244</v>
      </c>
      <c r="AB536" t="n">
        <v>3</v>
      </c>
      <c r="AC536" t="n">
        <v>3</v>
      </c>
      <c r="AD536" t="n">
        <v>9</v>
      </c>
      <c r="AE536" t="n">
        <v>9</v>
      </c>
      <c r="AF536" t="n">
        <v>4</v>
      </c>
      <c r="AG536" t="n">
        <v>4</v>
      </c>
      <c r="AH536" t="n">
        <v>3</v>
      </c>
      <c r="AI536" t="n">
        <v>3</v>
      </c>
      <c r="AJ536" t="n">
        <v>7</v>
      </c>
      <c r="AK536" t="n">
        <v>7</v>
      </c>
      <c r="AL536" t="n">
        <v>1</v>
      </c>
      <c r="AM536" t="n">
        <v>1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HYPERLINK("http://catalog.hathitrust.org/Record/005055105","HathiTrust Record")</f>
        <v/>
      </c>
      <c r="AS536">
        <f>HYPERLINK("https://creighton-primo.hosted.exlibrisgroup.com/primo-explore/search?tab=default_tab&amp;search_scope=EVERYTHING&amp;vid=01CRU&amp;lang=en_US&amp;offset=0&amp;query=any,contains,991001322959702656","Catalog Record")</f>
        <v/>
      </c>
      <c r="AT536">
        <f>HYPERLINK("http://www.worldcat.org/oclc/18291642","WorldCat Record")</f>
        <v/>
      </c>
    </row>
    <row r="537">
      <c r="A537" t="inlineStr">
        <is>
          <t>No</t>
        </is>
      </c>
      <c r="B537" t="inlineStr">
        <is>
          <t>QV 312 P297 1979</t>
        </is>
      </c>
      <c r="C537" t="inlineStr">
        <is>
          <t>0                      QV 0312000P  297         1979</t>
        </is>
      </c>
      <c r="D537" t="inlineStr">
        <is>
          <t>Pathology of oxygen / edited by Anne P. Autor.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New York : Academic Press, c1982.</t>
        </is>
      </c>
      <c r="M537" t="inlineStr">
        <is>
          <t>1982</t>
        </is>
      </c>
      <c r="O537" t="inlineStr">
        <is>
          <t>eng</t>
        </is>
      </c>
      <c r="P537" t="inlineStr">
        <is>
          <t>xxu</t>
        </is>
      </c>
      <c r="R537" t="inlineStr">
        <is>
          <t xml:space="preserve">QV </t>
        </is>
      </c>
      <c r="S537" t="n">
        <v>3</v>
      </c>
      <c r="T537" t="n">
        <v>3</v>
      </c>
      <c r="U537" t="inlineStr">
        <is>
          <t>2000-04-14</t>
        </is>
      </c>
      <c r="V537" t="inlineStr">
        <is>
          <t>2000-04-14</t>
        </is>
      </c>
      <c r="W537" t="inlineStr">
        <is>
          <t>1988-02-09</t>
        </is>
      </c>
      <c r="X537" t="inlineStr">
        <is>
          <t>1988-02-09</t>
        </is>
      </c>
      <c r="Y537" t="n">
        <v>144</v>
      </c>
      <c r="Z537" t="n">
        <v>95</v>
      </c>
      <c r="AA537" t="n">
        <v>102</v>
      </c>
      <c r="AB537" t="n">
        <v>1</v>
      </c>
      <c r="AC537" t="n">
        <v>1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HYPERLINK("http://catalog.hathitrust.org/Record/000109025","HathiTrust Record")</f>
        <v/>
      </c>
      <c r="AS537">
        <f>HYPERLINK("https://creighton-primo.hosted.exlibrisgroup.com/primo-explore/search?tab=default_tab&amp;search_scope=EVERYTHING&amp;vid=01CRU&amp;lang=en_US&amp;offset=0&amp;query=any,contains,991000961489702656","Catalog Record")</f>
        <v/>
      </c>
      <c r="AT537">
        <f>HYPERLINK("http://www.worldcat.org/oclc/8865397","WorldCat Record")</f>
        <v/>
      </c>
    </row>
    <row r="538">
      <c r="A538" t="inlineStr">
        <is>
          <t>No</t>
        </is>
      </c>
      <c r="B538" t="inlineStr">
        <is>
          <t>QV 350 A517</t>
        </is>
      </c>
      <c r="C538" t="inlineStr">
        <is>
          <t>0                      QV 0350000A  517</t>
        </is>
      </c>
      <c r="D538" t="inlineStr">
        <is>
          <t>Aminoglycoside antibiotics / edited by Susumu Mitsuhashi.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Baltimore : University Park Press, [1975]</t>
        </is>
      </c>
      <c r="M538" t="inlineStr">
        <is>
          <t>1975</t>
        </is>
      </c>
      <c r="O538" t="inlineStr">
        <is>
          <t>eng</t>
        </is>
      </c>
      <c r="P538" t="inlineStr">
        <is>
          <t>mdu</t>
        </is>
      </c>
      <c r="Q538" t="inlineStr">
        <is>
          <t>Drug action and drug resistance in bacteria ; 2</t>
        </is>
      </c>
      <c r="R538" t="inlineStr">
        <is>
          <t xml:space="preserve">QV </t>
        </is>
      </c>
      <c r="S538" t="n">
        <v>8</v>
      </c>
      <c r="T538" t="n">
        <v>8</v>
      </c>
      <c r="U538" t="inlineStr">
        <is>
          <t>1997-12-12</t>
        </is>
      </c>
      <c r="V538" t="inlineStr">
        <is>
          <t>1997-12-12</t>
        </is>
      </c>
      <c r="W538" t="inlineStr">
        <is>
          <t>1988-03-17</t>
        </is>
      </c>
      <c r="X538" t="inlineStr">
        <is>
          <t>1988-03-17</t>
        </is>
      </c>
      <c r="Y538" t="n">
        <v>169</v>
      </c>
      <c r="Z538" t="n">
        <v>137</v>
      </c>
      <c r="AA538" t="n">
        <v>143</v>
      </c>
      <c r="AB538" t="n">
        <v>1</v>
      </c>
      <c r="AC538" t="n">
        <v>1</v>
      </c>
      <c r="AD538" t="n">
        <v>3</v>
      </c>
      <c r="AE538" t="n">
        <v>4</v>
      </c>
      <c r="AF538" t="n">
        <v>0</v>
      </c>
      <c r="AG538" t="n">
        <v>0</v>
      </c>
      <c r="AH538" t="n">
        <v>2</v>
      </c>
      <c r="AI538" t="n">
        <v>3</v>
      </c>
      <c r="AJ538" t="n">
        <v>2</v>
      </c>
      <c r="AK538" t="n">
        <v>3</v>
      </c>
      <c r="AL538" t="n">
        <v>0</v>
      </c>
      <c r="AM538" t="n">
        <v>0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HYPERLINK("http://catalog.hathitrust.org/Record/001644442","HathiTrust Record")</f>
        <v/>
      </c>
      <c r="AS538">
        <f>HYPERLINK("https://creighton-primo.hosted.exlibrisgroup.com/primo-explore/search?tab=default_tab&amp;search_scope=EVERYTHING&amp;vid=01CRU&amp;lang=en_US&amp;offset=0&amp;query=any,contains,991000961459702656","Catalog Record")</f>
        <v/>
      </c>
      <c r="AT538">
        <f>HYPERLINK("http://www.worldcat.org/oclc/1288293","WorldCat Record")</f>
        <v/>
      </c>
    </row>
    <row r="539">
      <c r="A539" t="inlineStr">
        <is>
          <t>No</t>
        </is>
      </c>
      <c r="B539" t="inlineStr">
        <is>
          <t>QV350 A6262 2005</t>
        </is>
      </c>
      <c r="C539" t="inlineStr">
        <is>
          <t>0                      QV 0350000A  6262        2005</t>
        </is>
      </c>
      <c r="D539" t="inlineStr">
        <is>
          <t>Antibiotic optimization : concepts and strategies in clinical practice / edited by Robert C. Owens, Paul G. Ambrose, Charles H. Nightingale.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New York : Marcel Dekker, c2005.</t>
        </is>
      </c>
      <c r="M539" t="inlineStr">
        <is>
          <t>2005</t>
        </is>
      </c>
      <c r="O539" t="inlineStr">
        <is>
          <t>eng</t>
        </is>
      </c>
      <c r="P539" t="inlineStr">
        <is>
          <t>nyu</t>
        </is>
      </c>
      <c r="Q539" t="inlineStr">
        <is>
          <t>Infectious disease and therapy ; v. 33</t>
        </is>
      </c>
      <c r="R539" t="inlineStr">
        <is>
          <t xml:space="preserve">QV </t>
        </is>
      </c>
      <c r="S539" t="n">
        <v>0</v>
      </c>
      <c r="T539" t="n">
        <v>0</v>
      </c>
      <c r="U539" t="inlineStr">
        <is>
          <t>2005-10-27</t>
        </is>
      </c>
      <c r="V539" t="inlineStr">
        <is>
          <t>2005-10-27</t>
        </is>
      </c>
      <c r="W539" t="inlineStr">
        <is>
          <t>2005-10-25</t>
        </is>
      </c>
      <c r="X539" t="inlineStr">
        <is>
          <t>2005-10-25</t>
        </is>
      </c>
      <c r="Y539" t="n">
        <v>90</v>
      </c>
      <c r="Z539" t="n">
        <v>57</v>
      </c>
      <c r="AA539" t="n">
        <v>88</v>
      </c>
      <c r="AB539" t="n">
        <v>2</v>
      </c>
      <c r="AC539" t="n">
        <v>2</v>
      </c>
      <c r="AD539" t="n">
        <v>2</v>
      </c>
      <c r="AE539" t="n">
        <v>3</v>
      </c>
      <c r="AF539" t="n">
        <v>0</v>
      </c>
      <c r="AG539" t="n">
        <v>0</v>
      </c>
      <c r="AH539" t="n">
        <v>1</v>
      </c>
      <c r="AI539" t="n">
        <v>2</v>
      </c>
      <c r="AJ539" t="n">
        <v>0</v>
      </c>
      <c r="AK539" t="n">
        <v>0</v>
      </c>
      <c r="AL539" t="n">
        <v>1</v>
      </c>
      <c r="AM539" t="n">
        <v>1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HYPERLINK("https://creighton-primo.hosted.exlibrisgroup.com/primo-explore/search?tab=default_tab&amp;search_scope=EVERYTHING&amp;vid=01CRU&amp;lang=en_US&amp;offset=0&amp;query=any,contains,991000445949702656","Catalog Record")</f>
        <v/>
      </c>
      <c r="AT539">
        <f>HYPERLINK("http://www.worldcat.org/oclc/57414693","WorldCat Record")</f>
        <v/>
      </c>
    </row>
    <row r="540">
      <c r="A540" t="inlineStr">
        <is>
          <t>No</t>
        </is>
      </c>
      <c r="B540" t="inlineStr">
        <is>
          <t>QV 350 A629 1979</t>
        </is>
      </c>
      <c r="C540" t="inlineStr">
        <is>
          <t>0                      QV 0350000A  629         1979</t>
        </is>
      </c>
      <c r="D540" t="inlineStr">
        <is>
          <t>Antibiotic interactions / editor, J. D. Williams.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London ; New York : Academic Press, 1979.</t>
        </is>
      </c>
      <c r="M540" t="inlineStr">
        <is>
          <t>1979</t>
        </is>
      </c>
      <c r="O540" t="inlineStr">
        <is>
          <t>eng</t>
        </is>
      </c>
      <c r="P540" t="inlineStr">
        <is>
          <t>enk</t>
        </is>
      </c>
      <c r="R540" t="inlineStr">
        <is>
          <t xml:space="preserve">QV </t>
        </is>
      </c>
      <c r="S540" t="n">
        <v>5</v>
      </c>
      <c r="T540" t="n">
        <v>5</v>
      </c>
      <c r="U540" t="inlineStr">
        <is>
          <t>1997-07-26</t>
        </is>
      </c>
      <c r="V540" t="inlineStr">
        <is>
          <t>1997-07-26</t>
        </is>
      </c>
      <c r="W540" t="inlineStr">
        <is>
          <t>1988-02-09</t>
        </is>
      </c>
      <c r="X540" t="inlineStr">
        <is>
          <t>1988-02-09</t>
        </is>
      </c>
      <c r="Y540" t="n">
        <v>174</v>
      </c>
      <c r="Z540" t="n">
        <v>96</v>
      </c>
      <c r="AA540" t="n">
        <v>98</v>
      </c>
      <c r="AB540" t="n">
        <v>1</v>
      </c>
      <c r="AC540" t="n">
        <v>1</v>
      </c>
      <c r="AD540" t="n">
        <v>2</v>
      </c>
      <c r="AE540" t="n">
        <v>2</v>
      </c>
      <c r="AF540" t="n">
        <v>1</v>
      </c>
      <c r="AG540" t="n">
        <v>1</v>
      </c>
      <c r="AH540" t="n">
        <v>1</v>
      </c>
      <c r="AI540" t="n">
        <v>1</v>
      </c>
      <c r="AJ540" t="n">
        <v>0</v>
      </c>
      <c r="AK540" t="n">
        <v>0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HYPERLINK("http://catalog.hathitrust.org/Record/000034696","HathiTrust Record")</f>
        <v/>
      </c>
      <c r="AS540">
        <f>HYPERLINK("https://creighton-primo.hosted.exlibrisgroup.com/primo-explore/search?tab=default_tab&amp;search_scope=EVERYTHING&amp;vid=01CRU&amp;lang=en_US&amp;offset=0&amp;query=any,contains,991000961429702656","Catalog Record")</f>
        <v/>
      </c>
      <c r="AT540">
        <f>HYPERLINK("http://www.worldcat.org/oclc/6169315","WorldCat Record")</f>
        <v/>
      </c>
    </row>
    <row r="541">
      <c r="A541" t="inlineStr">
        <is>
          <t>No</t>
        </is>
      </c>
      <c r="B541" t="inlineStr">
        <is>
          <t>QV350 A629 2003</t>
        </is>
      </c>
      <c r="C541" t="inlineStr">
        <is>
          <t>0                      QV 0350000A  629         2003</t>
        </is>
      </c>
      <c r="D541" t="inlineStr">
        <is>
          <t>Antibiotic and chemotherapy : anti-infective agents and their use in therapy.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1</t>
        </is>
      </c>
      <c r="L541" t="inlineStr">
        <is>
          <t>Edinburgh ; New York : Churchill Livingstone, 2003.</t>
        </is>
      </c>
      <c r="M541" t="inlineStr">
        <is>
          <t>2003</t>
        </is>
      </c>
      <c r="N541" t="inlineStr">
        <is>
          <t>8th ed / edited by Roger G. Finch ... [et al.].</t>
        </is>
      </c>
      <c r="O541" t="inlineStr">
        <is>
          <t>eng</t>
        </is>
      </c>
      <c r="P541" t="inlineStr">
        <is>
          <t>stk</t>
        </is>
      </c>
      <c r="R541" t="inlineStr">
        <is>
          <t xml:space="preserve">QV </t>
        </is>
      </c>
      <c r="S541" t="n">
        <v>1</v>
      </c>
      <c r="T541" t="n">
        <v>1</v>
      </c>
      <c r="U541" t="inlineStr">
        <is>
          <t>2010-02-08</t>
        </is>
      </c>
      <c r="V541" t="inlineStr">
        <is>
          <t>2010-02-08</t>
        </is>
      </c>
      <c r="W541" t="inlineStr">
        <is>
          <t>2004-04-02</t>
        </is>
      </c>
      <c r="X541" t="inlineStr">
        <is>
          <t>2004-04-02</t>
        </is>
      </c>
      <c r="Y541" t="n">
        <v>112</v>
      </c>
      <c r="Z541" t="n">
        <v>72</v>
      </c>
      <c r="AA541" t="n">
        <v>250</v>
      </c>
      <c r="AB541" t="n">
        <v>1</v>
      </c>
      <c r="AC541" t="n">
        <v>1</v>
      </c>
      <c r="AD541" t="n">
        <v>2</v>
      </c>
      <c r="AE541" t="n">
        <v>6</v>
      </c>
      <c r="AF541" t="n">
        <v>1</v>
      </c>
      <c r="AG541" t="n">
        <v>2</v>
      </c>
      <c r="AH541" t="n">
        <v>0</v>
      </c>
      <c r="AI541" t="n">
        <v>2</v>
      </c>
      <c r="AJ541" t="n">
        <v>1</v>
      </c>
      <c r="AK541" t="n">
        <v>3</v>
      </c>
      <c r="AL541" t="n">
        <v>0</v>
      </c>
      <c r="AM541" t="n">
        <v>0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HYPERLINK("https://creighton-primo.hosted.exlibrisgroup.com/primo-explore/search?tab=default_tab&amp;search_scope=EVERYTHING&amp;vid=01CRU&amp;lang=en_US&amp;offset=0&amp;query=any,contains,991000369439702656","Catalog Record")</f>
        <v/>
      </c>
      <c r="AT541">
        <f>HYPERLINK("http://www.worldcat.org/oclc/52086205","WorldCat Record")</f>
        <v/>
      </c>
    </row>
    <row r="542">
      <c r="A542" t="inlineStr">
        <is>
          <t>No</t>
        </is>
      </c>
      <c r="B542" t="inlineStr">
        <is>
          <t>QV 350 A6294 1982</t>
        </is>
      </c>
      <c r="C542" t="inlineStr">
        <is>
          <t>0                      QV 0350000A  6294        1982</t>
        </is>
      </c>
      <c r="D542" t="inlineStr">
        <is>
          <t>Antibiotics in the management of infections : outlook for the 1980's / Merck Sharp &amp; Dohme International Medical Advisory Council, Paris, France, June 14 and 15, 1982 ; editor, Alexander G. Bearn.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Raven Press, c1982.</t>
        </is>
      </c>
      <c r="M542" t="inlineStr">
        <is>
          <t>1982</t>
        </is>
      </c>
      <c r="O542" t="inlineStr">
        <is>
          <t>eng</t>
        </is>
      </c>
      <c r="P542" t="inlineStr">
        <is>
          <t>xxu</t>
        </is>
      </c>
      <c r="R542" t="inlineStr">
        <is>
          <t xml:space="preserve">QV </t>
        </is>
      </c>
      <c r="S542" t="n">
        <v>5</v>
      </c>
      <c r="T542" t="n">
        <v>5</v>
      </c>
      <c r="U542" t="inlineStr">
        <is>
          <t>1997-07-26</t>
        </is>
      </c>
      <c r="V542" t="inlineStr">
        <is>
          <t>1997-07-26</t>
        </is>
      </c>
      <c r="W542" t="inlineStr">
        <is>
          <t>1988-02-09</t>
        </is>
      </c>
      <c r="X542" t="inlineStr">
        <is>
          <t>1988-02-09</t>
        </is>
      </c>
      <c r="Y542" t="n">
        <v>89</v>
      </c>
      <c r="Z542" t="n">
        <v>73</v>
      </c>
      <c r="AA542" t="n">
        <v>75</v>
      </c>
      <c r="AB542" t="n">
        <v>1</v>
      </c>
      <c r="AC542" t="n">
        <v>1</v>
      </c>
      <c r="AD542" t="n">
        <v>1</v>
      </c>
      <c r="AE542" t="n">
        <v>1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1</v>
      </c>
      <c r="AL542" t="n">
        <v>0</v>
      </c>
      <c r="AM542" t="n">
        <v>0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HYPERLINK("http://catalog.hathitrust.org/Record/000112346","HathiTrust Record")</f>
        <v/>
      </c>
      <c r="AS542">
        <f>HYPERLINK("https://creighton-primo.hosted.exlibrisgroup.com/primo-explore/search?tab=default_tab&amp;search_scope=EVERYTHING&amp;vid=01CRU&amp;lang=en_US&amp;offset=0&amp;query=any,contains,991000961299702656","Catalog Record")</f>
        <v/>
      </c>
      <c r="AT542">
        <f>HYPERLINK("http://www.worldcat.org/oclc/9044575","WorldCat Record")</f>
        <v/>
      </c>
    </row>
    <row r="543">
      <c r="A543" t="inlineStr">
        <is>
          <t>No</t>
        </is>
      </c>
      <c r="B543" t="inlineStr">
        <is>
          <t>QV350 A6337 2002</t>
        </is>
      </c>
      <c r="C543" t="inlineStr">
        <is>
          <t>0                      QV 0350000A  6337        2002</t>
        </is>
      </c>
      <c r="D543" t="inlineStr">
        <is>
          <t>Antimicrobial pharmacodynamics in theory and clinical practice / edited by Charles H. Nightingale, Takeo Murakawa, Paul G. Ambrose.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New York : M. Dekker, c2002.</t>
        </is>
      </c>
      <c r="M543" t="inlineStr">
        <is>
          <t>2002</t>
        </is>
      </c>
      <c r="O543" t="inlineStr">
        <is>
          <t>eng</t>
        </is>
      </c>
      <c r="P543" t="inlineStr">
        <is>
          <t>nyu</t>
        </is>
      </c>
      <c r="Q543" t="inlineStr">
        <is>
          <t>Infectious disease and therapy ; v. 28</t>
        </is>
      </c>
      <c r="R543" t="inlineStr">
        <is>
          <t xml:space="preserve">QV </t>
        </is>
      </c>
      <c r="S543" t="n">
        <v>0</v>
      </c>
      <c r="T543" t="n">
        <v>0</v>
      </c>
      <c r="U543" t="inlineStr">
        <is>
          <t>2002-04-25</t>
        </is>
      </c>
      <c r="V543" t="inlineStr">
        <is>
          <t>2002-04-25</t>
        </is>
      </c>
      <c r="W543" t="inlineStr">
        <is>
          <t>2002-01-11</t>
        </is>
      </c>
      <c r="X543" t="inlineStr">
        <is>
          <t>2002-01-11</t>
        </is>
      </c>
      <c r="Y543" t="n">
        <v>105</v>
      </c>
      <c r="Z543" t="n">
        <v>71</v>
      </c>
      <c r="AA543" t="n">
        <v>97</v>
      </c>
      <c r="AB543" t="n">
        <v>1</v>
      </c>
      <c r="AC543" t="n">
        <v>1</v>
      </c>
      <c r="AD543" t="n">
        <v>3</v>
      </c>
      <c r="AE543" t="n">
        <v>3</v>
      </c>
      <c r="AF543" t="n">
        <v>1</v>
      </c>
      <c r="AG543" t="n">
        <v>1</v>
      </c>
      <c r="AH543" t="n">
        <v>2</v>
      </c>
      <c r="AI543" t="n">
        <v>2</v>
      </c>
      <c r="AJ543" t="n">
        <v>0</v>
      </c>
      <c r="AK543" t="n">
        <v>0</v>
      </c>
      <c r="AL543" t="n">
        <v>0</v>
      </c>
      <c r="AM543" t="n">
        <v>0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HYPERLINK("https://creighton-primo.hosted.exlibrisgroup.com/primo-explore/search?tab=default_tab&amp;search_scope=EVERYTHING&amp;vid=01CRU&amp;lang=en_US&amp;offset=0&amp;query=any,contains,991000302279702656","Catalog Record")</f>
        <v/>
      </c>
      <c r="AT543">
        <f>HYPERLINK("http://www.worldcat.org/oclc/48004909","WorldCat Record")</f>
        <v/>
      </c>
    </row>
    <row r="544">
      <c r="A544" t="inlineStr">
        <is>
          <t>No</t>
        </is>
      </c>
      <c r="B544" t="inlineStr">
        <is>
          <t>QV 350 A636 1976a</t>
        </is>
      </c>
      <c r="C544" t="inlineStr">
        <is>
          <t>0                      QV 0350000A  636         1976a</t>
        </is>
      </c>
      <c r="D544" t="inlineStr">
        <is>
          <t>Antibiotics : a critical review / edited by W. Kuryłowicz ; contributors, W. Kuryłowicz ... [et al.].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L544" t="inlineStr">
        <is>
          <t>Warsaw : Polish Medical Publishers ; Washington : distributed in USA and Canada by American Society for Microbiology, c1976.</t>
        </is>
      </c>
      <c r="M544" t="inlineStr">
        <is>
          <t>1976</t>
        </is>
      </c>
      <c r="N544" t="inlineStr">
        <is>
          <t>1st English ed.</t>
        </is>
      </c>
      <c r="O544" t="inlineStr">
        <is>
          <t>eng</t>
        </is>
      </c>
      <c r="P544" t="inlineStr">
        <is>
          <t xml:space="preserve">xx </t>
        </is>
      </c>
      <c r="R544" t="inlineStr">
        <is>
          <t xml:space="preserve">QV </t>
        </is>
      </c>
      <c r="S544" t="n">
        <v>9</v>
      </c>
      <c r="T544" t="n">
        <v>9</v>
      </c>
      <c r="U544" t="inlineStr">
        <is>
          <t>1997-10-24</t>
        </is>
      </c>
      <c r="V544" t="inlineStr">
        <is>
          <t>1997-10-24</t>
        </is>
      </c>
      <c r="W544" t="inlineStr">
        <is>
          <t>1988-02-09</t>
        </is>
      </c>
      <c r="X544" t="inlineStr">
        <is>
          <t>1988-02-09</t>
        </is>
      </c>
      <c r="Y544" t="n">
        <v>33</v>
      </c>
      <c r="Z544" t="n">
        <v>28</v>
      </c>
      <c r="AA544" t="n">
        <v>28</v>
      </c>
      <c r="AB544" t="n">
        <v>1</v>
      </c>
      <c r="AC544" t="n">
        <v>1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HYPERLINK("https://creighton-primo.hosted.exlibrisgroup.com/primo-explore/search?tab=default_tab&amp;search_scope=EVERYTHING&amp;vid=01CRU&amp;lang=en_US&amp;offset=0&amp;query=any,contains,991000961389702656","Catalog Record")</f>
        <v/>
      </c>
      <c r="AT544">
        <f>HYPERLINK("http://www.worldcat.org/oclc/5352541","WorldCat Record")</f>
        <v/>
      </c>
    </row>
    <row r="545">
      <c r="A545" t="inlineStr">
        <is>
          <t>No</t>
        </is>
      </c>
      <c r="B545" t="inlineStr">
        <is>
          <t>QV 350 B265h 1950</t>
        </is>
      </c>
      <c r="C545" t="inlineStr">
        <is>
          <t>0                      QV 0350000B  265h        1950</t>
        </is>
      </c>
      <c r="D545" t="inlineStr">
        <is>
          <t>Handbook of antibiotics.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Baron, Abraham Louis, 1907-</t>
        </is>
      </c>
      <c r="L545" t="inlineStr">
        <is>
          <t>New York : Reinhold, 1950.</t>
        </is>
      </c>
      <c r="M545" t="inlineStr">
        <is>
          <t>1950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QV </t>
        </is>
      </c>
      <c r="S545" t="n">
        <v>1</v>
      </c>
      <c r="T545" t="n">
        <v>1</v>
      </c>
      <c r="U545" t="inlineStr">
        <is>
          <t>1995-11-25</t>
        </is>
      </c>
      <c r="V545" t="inlineStr">
        <is>
          <t>1995-11-25</t>
        </is>
      </c>
      <c r="W545" t="inlineStr">
        <is>
          <t>1988-03-17</t>
        </is>
      </c>
      <c r="X545" t="inlineStr">
        <is>
          <t>1988-03-17</t>
        </is>
      </c>
      <c r="Y545" t="n">
        <v>220</v>
      </c>
      <c r="Z545" t="n">
        <v>164</v>
      </c>
      <c r="AA545" t="n">
        <v>168</v>
      </c>
      <c r="AB545" t="n">
        <v>1</v>
      </c>
      <c r="AC545" t="n">
        <v>1</v>
      </c>
      <c r="AD545" t="n">
        <v>5</v>
      </c>
      <c r="AE545" t="n">
        <v>5</v>
      </c>
      <c r="AF545" t="n">
        <v>4</v>
      </c>
      <c r="AG545" t="n">
        <v>4</v>
      </c>
      <c r="AH545" t="n">
        <v>0</v>
      </c>
      <c r="AI545" t="n">
        <v>0</v>
      </c>
      <c r="AJ545" t="n">
        <v>4</v>
      </c>
      <c r="AK545" t="n">
        <v>4</v>
      </c>
      <c r="AL545" t="n">
        <v>0</v>
      </c>
      <c r="AM545" t="n">
        <v>0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R545">
        <f>HYPERLINK("http://catalog.hathitrust.org/Record/001572880","HathiTrust Record")</f>
        <v/>
      </c>
      <c r="AS545">
        <f>HYPERLINK("https://creighton-primo.hosted.exlibrisgroup.com/primo-explore/search?tab=default_tab&amp;search_scope=EVERYTHING&amp;vid=01CRU&amp;lang=en_US&amp;offset=0&amp;query=any,contains,991000961349702656","Catalog Record")</f>
        <v/>
      </c>
      <c r="AT545">
        <f>HYPERLINK("http://www.worldcat.org/oclc/642967","WorldCat Record")</f>
        <v/>
      </c>
    </row>
    <row r="546">
      <c r="A546" t="inlineStr">
        <is>
          <t>No</t>
        </is>
      </c>
      <c r="B546" t="inlineStr">
        <is>
          <t>QV 350 E95 1997</t>
        </is>
      </c>
      <c r="C546" t="inlineStr">
        <is>
          <t>0                      QV 0350000E  95          1997</t>
        </is>
      </c>
      <c r="D546" t="inlineStr">
        <is>
          <t>Expanding indications for the new macrolides, azalides, and streptogramins / edited by Stephen H. Zinner ... [et al.].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New York : Dekker, c1997.</t>
        </is>
      </c>
      <c r="M546" t="inlineStr">
        <is>
          <t>1997</t>
        </is>
      </c>
      <c r="O546" t="inlineStr">
        <is>
          <t>eng</t>
        </is>
      </c>
      <c r="P546" t="inlineStr">
        <is>
          <t>nyu</t>
        </is>
      </c>
      <c r="Q546" t="inlineStr">
        <is>
          <t>Infectious disease and therapy ; v. 21</t>
        </is>
      </c>
      <c r="R546" t="inlineStr">
        <is>
          <t xml:space="preserve">QV </t>
        </is>
      </c>
      <c r="S546" t="n">
        <v>1</v>
      </c>
      <c r="T546" t="n">
        <v>1</v>
      </c>
      <c r="U546" t="inlineStr">
        <is>
          <t>2006-10-06</t>
        </is>
      </c>
      <c r="V546" t="inlineStr">
        <is>
          <t>2006-10-06</t>
        </is>
      </c>
      <c r="W546" t="inlineStr">
        <is>
          <t>2002-07-26</t>
        </is>
      </c>
      <c r="X546" t="inlineStr">
        <is>
          <t>2002-07-26</t>
        </is>
      </c>
      <c r="Y546" t="n">
        <v>40</v>
      </c>
      <c r="Z546" t="n">
        <v>28</v>
      </c>
      <c r="AA546" t="n">
        <v>44</v>
      </c>
      <c r="AB546" t="n">
        <v>1</v>
      </c>
      <c r="AC546" t="n">
        <v>1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0</v>
      </c>
      <c r="AM546" t="n">
        <v>0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HYPERLINK("https://creighton-primo.hosted.exlibrisgroup.com/primo-explore/search?tab=default_tab&amp;search_scope=EVERYTHING&amp;vid=01CRU&amp;lang=en_US&amp;offset=0&amp;query=any,contains,991000325409702656","Catalog Record")</f>
        <v/>
      </c>
      <c r="AT546">
        <f>HYPERLINK("http://www.worldcat.org/oclc/36598148","WorldCat Record")</f>
        <v/>
      </c>
    </row>
    <row r="547">
      <c r="A547" t="inlineStr">
        <is>
          <t>No</t>
        </is>
      </c>
      <c r="B547" t="inlineStr">
        <is>
          <t>QV 350 G151m 1972</t>
        </is>
      </c>
      <c r="C547" t="inlineStr">
        <is>
          <t>0                      QV 0350000G  151m        1972</t>
        </is>
      </c>
      <c r="D547" t="inlineStr">
        <is>
          <t>The molecular basis of antibiotic action / E. F. Gale [et al.]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Gale, E. F. (Ernest Frederick)</t>
        </is>
      </c>
      <c r="L547" t="inlineStr">
        <is>
          <t>London, New York, Wiley, 1972.</t>
        </is>
      </c>
      <c r="M547" t="inlineStr">
        <is>
          <t>1972</t>
        </is>
      </c>
      <c r="O547" t="inlineStr">
        <is>
          <t>eng</t>
        </is>
      </c>
      <c r="P547" t="inlineStr">
        <is>
          <t>enk</t>
        </is>
      </c>
      <c r="R547" t="inlineStr">
        <is>
          <t xml:space="preserve">QV </t>
        </is>
      </c>
      <c r="S547" t="n">
        <v>5</v>
      </c>
      <c r="T547" t="n">
        <v>5</v>
      </c>
      <c r="U547" t="inlineStr">
        <is>
          <t>1998-09-16</t>
        </is>
      </c>
      <c r="V547" t="inlineStr">
        <is>
          <t>1998-09-16</t>
        </is>
      </c>
      <c r="W547" t="inlineStr">
        <is>
          <t>1988-02-09</t>
        </is>
      </c>
      <c r="X547" t="inlineStr">
        <is>
          <t>1988-02-09</t>
        </is>
      </c>
      <c r="Y547" t="n">
        <v>465</v>
      </c>
      <c r="Z547" t="n">
        <v>334</v>
      </c>
      <c r="AA547" t="n">
        <v>418</v>
      </c>
      <c r="AB547" t="n">
        <v>4</v>
      </c>
      <c r="AC547" t="n">
        <v>4</v>
      </c>
      <c r="AD547" t="n">
        <v>18</v>
      </c>
      <c r="AE547" t="n">
        <v>19</v>
      </c>
      <c r="AF547" t="n">
        <v>7</v>
      </c>
      <c r="AG547" t="n">
        <v>7</v>
      </c>
      <c r="AH547" t="n">
        <v>4</v>
      </c>
      <c r="AI547" t="n">
        <v>4</v>
      </c>
      <c r="AJ547" t="n">
        <v>6</v>
      </c>
      <c r="AK547" t="n">
        <v>7</v>
      </c>
      <c r="AL547" t="n">
        <v>3</v>
      </c>
      <c r="AM547" t="n">
        <v>3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HYPERLINK("http://catalog.hathitrust.org/Record/001555728","HathiTrust Record")</f>
        <v/>
      </c>
      <c r="AS547">
        <f>HYPERLINK("https://creighton-primo.hosted.exlibrisgroup.com/primo-explore/search?tab=default_tab&amp;search_scope=EVERYTHING&amp;vid=01CRU&amp;lang=en_US&amp;offset=0&amp;query=any,contains,991000159109702656","Catalog Record")</f>
        <v/>
      </c>
      <c r="AT547">
        <f>HYPERLINK("http://www.worldcat.org/oclc/654710","WorldCat Record")</f>
        <v/>
      </c>
    </row>
    <row r="548">
      <c r="A548" t="inlineStr">
        <is>
          <t>No</t>
        </is>
      </c>
      <c r="B548" t="inlineStr">
        <is>
          <t>QV 350 G568 1994</t>
        </is>
      </c>
      <c r="C548" t="inlineStr">
        <is>
          <t>0                      QV 0350000G  568         1994</t>
        </is>
      </c>
      <c r="D548" t="inlineStr">
        <is>
          <t>Glycopeptide antibiotics / edited by Ramakrishnan Nagarajan.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New York : M. Dekker, c1994.</t>
        </is>
      </c>
      <c r="M548" t="inlineStr">
        <is>
          <t>1994</t>
        </is>
      </c>
      <c r="O548" t="inlineStr">
        <is>
          <t>eng</t>
        </is>
      </c>
      <c r="P548" t="inlineStr">
        <is>
          <t>nyu</t>
        </is>
      </c>
      <c r="Q548" t="inlineStr">
        <is>
          <t>Drugs and the pharmaceutical sciences ; 63</t>
        </is>
      </c>
      <c r="R548" t="inlineStr">
        <is>
          <t xml:space="preserve">QV </t>
        </is>
      </c>
      <c r="S548" t="n">
        <v>10</v>
      </c>
      <c r="T548" t="n">
        <v>10</v>
      </c>
      <c r="U548" t="inlineStr">
        <is>
          <t>2005-10-02</t>
        </is>
      </c>
      <c r="V548" t="inlineStr">
        <is>
          <t>2005-10-02</t>
        </is>
      </c>
      <c r="W548" t="inlineStr">
        <is>
          <t>1994-06-07</t>
        </is>
      </c>
      <c r="X548" t="inlineStr">
        <is>
          <t>1994-06-07</t>
        </is>
      </c>
      <c r="Y548" t="n">
        <v>106</v>
      </c>
      <c r="Z548" t="n">
        <v>82</v>
      </c>
      <c r="AA548" t="n">
        <v>89</v>
      </c>
      <c r="AB548" t="n">
        <v>1</v>
      </c>
      <c r="AC548" t="n">
        <v>1</v>
      </c>
      <c r="AD548" t="n">
        <v>1</v>
      </c>
      <c r="AE548" t="n">
        <v>1</v>
      </c>
      <c r="AF548" t="n">
        <v>0</v>
      </c>
      <c r="AG548" t="n">
        <v>0</v>
      </c>
      <c r="AH548" t="n">
        <v>1</v>
      </c>
      <c r="AI548" t="n">
        <v>1</v>
      </c>
      <c r="AJ548" t="n">
        <v>0</v>
      </c>
      <c r="AK548" t="n">
        <v>0</v>
      </c>
      <c r="AL548" t="n">
        <v>0</v>
      </c>
      <c r="AM548" t="n">
        <v>0</v>
      </c>
      <c r="AN548" t="n">
        <v>0</v>
      </c>
      <c r="AO548" t="n">
        <v>0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HYPERLINK("https://creighton-primo.hosted.exlibrisgroup.com/primo-explore/search?tab=default_tab&amp;search_scope=EVERYTHING&amp;vid=01CRU&amp;lang=en_US&amp;offset=0&amp;query=any,contains,991001193749702656","Catalog Record")</f>
        <v/>
      </c>
      <c r="AT548">
        <f>HYPERLINK("http://www.worldcat.org/oclc/29848265","WorldCat Record")</f>
        <v/>
      </c>
    </row>
    <row r="549">
      <c r="A549" t="inlineStr">
        <is>
          <t>No</t>
        </is>
      </c>
      <c r="B549" t="inlineStr">
        <is>
          <t>QV 350 G686a 1967</t>
        </is>
      </c>
      <c r="C549" t="inlineStr">
        <is>
          <t>0                      QV 0350000G  686a        1967</t>
        </is>
      </c>
      <c r="D549" t="inlineStr">
        <is>
          <t>Antibiotics / edited by David Gottlieb and Paul D. Shaw.</t>
        </is>
      </c>
      <c r="E549" t="inlineStr">
        <is>
          <t>V. 2</t>
        </is>
      </c>
      <c r="F549" t="inlineStr">
        <is>
          <t>Yes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Gottlieb, David, 1911-1982.</t>
        </is>
      </c>
      <c r="L549" t="inlineStr">
        <is>
          <t>New York : Springer-Verlag, 1967</t>
        </is>
      </c>
      <c r="M549" t="inlineStr">
        <is>
          <t>1967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QV </t>
        </is>
      </c>
      <c r="S549" t="n">
        <v>5</v>
      </c>
      <c r="T549" t="n">
        <v>12</v>
      </c>
      <c r="U549" t="inlineStr">
        <is>
          <t>2000-02-09</t>
        </is>
      </c>
      <c r="V549" t="inlineStr">
        <is>
          <t>2000-02-09</t>
        </is>
      </c>
      <c r="W549" t="inlineStr">
        <is>
          <t>1988-03-03</t>
        </is>
      </c>
      <c r="X549" t="inlineStr">
        <is>
          <t>1988-03-03</t>
        </is>
      </c>
      <c r="Y549" t="n">
        <v>12</v>
      </c>
      <c r="Z549" t="n">
        <v>7</v>
      </c>
      <c r="AA549" t="n">
        <v>230</v>
      </c>
      <c r="AB549" t="n">
        <v>1</v>
      </c>
      <c r="AC549" t="n">
        <v>2</v>
      </c>
      <c r="AD549" t="n">
        <v>0</v>
      </c>
      <c r="AE549" t="n">
        <v>7</v>
      </c>
      <c r="AF549" t="n">
        <v>0</v>
      </c>
      <c r="AG549" t="n">
        <v>2</v>
      </c>
      <c r="AH549" t="n">
        <v>0</v>
      </c>
      <c r="AI549" t="n">
        <v>1</v>
      </c>
      <c r="AJ549" t="n">
        <v>0</v>
      </c>
      <c r="AK549" t="n">
        <v>4</v>
      </c>
      <c r="AL549" t="n">
        <v>0</v>
      </c>
      <c r="AM549" t="n">
        <v>1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T549">
        <f>HYPERLINK("http://www.worldcat.org/oclc/14245971","WorldCat Record")</f>
        <v/>
      </c>
    </row>
    <row r="550">
      <c r="A550" t="inlineStr">
        <is>
          <t>No</t>
        </is>
      </c>
      <c r="B550" t="inlineStr">
        <is>
          <t>QV 350 G686a 1967</t>
        </is>
      </c>
      <c r="C550" t="inlineStr">
        <is>
          <t>0                      QV 0350000G  686a        1967</t>
        </is>
      </c>
      <c r="D550" t="inlineStr">
        <is>
          <t>Antibiotics / edited by David Gottlieb and Paul D. Shaw.</t>
        </is>
      </c>
      <c r="E550" t="inlineStr">
        <is>
          <t>V. 1</t>
        </is>
      </c>
      <c r="F550" t="inlineStr">
        <is>
          <t>Yes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Gottlieb, David, 1911-1982.</t>
        </is>
      </c>
      <c r="L550" t="inlineStr">
        <is>
          <t>New York : Springer-Verlag, 1967</t>
        </is>
      </c>
      <c r="M550" t="inlineStr">
        <is>
          <t>1967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QV </t>
        </is>
      </c>
      <c r="S550" t="n">
        <v>7</v>
      </c>
      <c r="T550" t="n">
        <v>12</v>
      </c>
      <c r="U550" t="inlineStr">
        <is>
          <t>2000-02-09</t>
        </is>
      </c>
      <c r="V550" t="inlineStr">
        <is>
          <t>2000-02-09</t>
        </is>
      </c>
      <c r="W550" t="inlineStr">
        <is>
          <t>1988-03-03</t>
        </is>
      </c>
      <c r="X550" t="inlineStr">
        <is>
          <t>1988-03-03</t>
        </is>
      </c>
      <c r="Y550" t="n">
        <v>12</v>
      </c>
      <c r="Z550" t="n">
        <v>7</v>
      </c>
      <c r="AA550" t="n">
        <v>230</v>
      </c>
      <c r="AB550" t="n">
        <v>1</v>
      </c>
      <c r="AC550" t="n">
        <v>2</v>
      </c>
      <c r="AD550" t="n">
        <v>0</v>
      </c>
      <c r="AE550" t="n">
        <v>7</v>
      </c>
      <c r="AF550" t="n">
        <v>0</v>
      </c>
      <c r="AG550" t="n">
        <v>2</v>
      </c>
      <c r="AH550" t="n">
        <v>0</v>
      </c>
      <c r="AI550" t="n">
        <v>1</v>
      </c>
      <c r="AJ550" t="n">
        <v>0</v>
      </c>
      <c r="AK550" t="n">
        <v>4</v>
      </c>
      <c r="AL550" t="n">
        <v>0</v>
      </c>
      <c r="AM550" t="n">
        <v>1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T550">
        <f>HYPERLINK("http://www.worldcat.org/oclc/14245971","WorldCat Record")</f>
        <v/>
      </c>
    </row>
    <row r="551">
      <c r="A551" t="inlineStr">
        <is>
          <t>No</t>
        </is>
      </c>
      <c r="B551" t="inlineStr">
        <is>
          <t>QV 350 H673 1980</t>
        </is>
      </c>
      <c r="C551" t="inlineStr">
        <is>
          <t>0                      QV 0350000H  673         1980</t>
        </is>
      </c>
      <c r="D551" t="inlineStr">
        <is>
          <t>The History of antibiotics : a symposium / sponsored by the Divisions of History of Chemistry and Medicinal Chemistry, American Chemical Society Meeting, Honolulu, Hawaii, April 5, 1979 ; edited by John Parascandola.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L551" t="inlineStr">
        <is>
          <t>Madison, Wis. : American Institute of the History of Pharmacy, 1980.</t>
        </is>
      </c>
      <c r="M551" t="inlineStr">
        <is>
          <t>1980</t>
        </is>
      </c>
      <c r="O551" t="inlineStr">
        <is>
          <t>eng</t>
        </is>
      </c>
      <c r="P551" t="inlineStr">
        <is>
          <t>wiu</t>
        </is>
      </c>
      <c r="Q551" t="inlineStr">
        <is>
          <t>American Institute of the History of Pharmacy ; no. 5 [New series]</t>
        </is>
      </c>
      <c r="R551" t="inlineStr">
        <is>
          <t xml:space="preserve">QV </t>
        </is>
      </c>
      <c r="S551" t="n">
        <v>8</v>
      </c>
      <c r="T551" t="n">
        <v>8</v>
      </c>
      <c r="U551" t="inlineStr">
        <is>
          <t>2001-11-30</t>
        </is>
      </c>
      <c r="V551" t="inlineStr">
        <is>
          <t>2001-11-30</t>
        </is>
      </c>
      <c r="W551" t="inlineStr">
        <is>
          <t>1988-02-09</t>
        </is>
      </c>
      <c r="X551" t="inlineStr">
        <is>
          <t>1988-02-09</t>
        </is>
      </c>
      <c r="Y551" t="n">
        <v>156</v>
      </c>
      <c r="Z551" t="n">
        <v>121</v>
      </c>
      <c r="AA551" t="n">
        <v>133</v>
      </c>
      <c r="AB551" t="n">
        <v>1</v>
      </c>
      <c r="AC551" t="n">
        <v>2</v>
      </c>
      <c r="AD551" t="n">
        <v>5</v>
      </c>
      <c r="AE551" t="n">
        <v>7</v>
      </c>
      <c r="AF551" t="n">
        <v>4</v>
      </c>
      <c r="AG551" t="n">
        <v>4</v>
      </c>
      <c r="AH551" t="n">
        <v>2</v>
      </c>
      <c r="AI551" t="n">
        <v>3</v>
      </c>
      <c r="AJ551" t="n">
        <v>0</v>
      </c>
      <c r="AK551" t="n">
        <v>0</v>
      </c>
      <c r="AL551" t="n">
        <v>0</v>
      </c>
      <c r="AM551" t="n">
        <v>1</v>
      </c>
      <c r="AN551" t="n">
        <v>0</v>
      </c>
      <c r="AO551" t="n">
        <v>0</v>
      </c>
      <c r="AP551" t="inlineStr">
        <is>
          <t>Yes</t>
        </is>
      </c>
      <c r="AQ551" t="inlineStr">
        <is>
          <t>No</t>
        </is>
      </c>
      <c r="AR551">
        <f>HYPERLINK("http://catalog.hathitrust.org/Record/000279638","HathiTrust Record")</f>
        <v/>
      </c>
      <c r="AS551">
        <f>HYPERLINK("https://creighton-primo.hosted.exlibrisgroup.com/primo-explore/search?tab=default_tab&amp;search_scope=EVERYTHING&amp;vid=01CRU&amp;lang=en_US&amp;offset=0&amp;query=any,contains,991000961929702656","Catalog Record")</f>
        <v/>
      </c>
      <c r="AT551">
        <f>HYPERLINK("http://www.worldcat.org/oclc/7029546","WorldCat Record")</f>
        <v/>
      </c>
    </row>
    <row r="552">
      <c r="A552" t="inlineStr">
        <is>
          <t>No</t>
        </is>
      </c>
      <c r="B552" t="inlineStr">
        <is>
          <t>QV 350 H972a 1954</t>
        </is>
      </c>
      <c r="C552" t="inlineStr">
        <is>
          <t>0                      QV 0350000H  972a        1954</t>
        </is>
      </c>
      <c r="D552" t="inlineStr">
        <is>
          <t>Antibiotics and antibiotic therapy : a clinical manual / Allen E. Hussar [and] Howard L. Holley.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Hussar, Allen E. (Allen Elmer), 1900-</t>
        </is>
      </c>
      <c r="L552" t="inlineStr">
        <is>
          <t>New York : Macmillan, 1954.</t>
        </is>
      </c>
      <c r="M552" t="inlineStr">
        <is>
          <t>1954</t>
        </is>
      </c>
      <c r="O552" t="inlineStr">
        <is>
          <t>eng</t>
        </is>
      </c>
      <c r="P552" t="inlineStr">
        <is>
          <t>nyu</t>
        </is>
      </c>
      <c r="R552" t="inlineStr">
        <is>
          <t xml:space="preserve">QV </t>
        </is>
      </c>
      <c r="S552" t="n">
        <v>3</v>
      </c>
      <c r="T552" t="n">
        <v>3</v>
      </c>
      <c r="U552" t="inlineStr">
        <is>
          <t>1992-11-30</t>
        </is>
      </c>
      <c r="V552" t="inlineStr">
        <is>
          <t>1992-11-30</t>
        </is>
      </c>
      <c r="W552" t="inlineStr">
        <is>
          <t>1988-03-21</t>
        </is>
      </c>
      <c r="X552" t="inlineStr">
        <is>
          <t>1988-03-21</t>
        </is>
      </c>
      <c r="Y552" t="n">
        <v>80</v>
      </c>
      <c r="Z552" t="n">
        <v>61</v>
      </c>
      <c r="AA552" t="n">
        <v>70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Yes</t>
        </is>
      </c>
      <c r="AQ552" t="inlineStr">
        <is>
          <t>No</t>
        </is>
      </c>
      <c r="AR552">
        <f>HYPERLINK("http://catalog.hathitrust.org/Record/002074948","HathiTrust Record")</f>
        <v/>
      </c>
      <c r="AS552">
        <f>HYPERLINK("https://creighton-primo.hosted.exlibrisgroup.com/primo-explore/search?tab=default_tab&amp;search_scope=EVERYTHING&amp;vid=01CRU&amp;lang=en_US&amp;offset=0&amp;query=any,contains,991000961969702656","Catalog Record")</f>
        <v/>
      </c>
      <c r="AT552">
        <f>HYPERLINK("http://www.worldcat.org/oclc/3668648","WorldCat Record")</f>
        <v/>
      </c>
    </row>
    <row r="553">
      <c r="A553" t="inlineStr">
        <is>
          <t>No</t>
        </is>
      </c>
      <c r="B553" t="inlineStr">
        <is>
          <t>QV 350 I61 1982</t>
        </is>
      </c>
      <c r="C553" t="inlineStr">
        <is>
          <t>0                      QV 0350000I  61          1982</t>
        </is>
      </c>
      <c r="D553" t="inlineStr">
        <is>
          <t>Proceedings, an International Conference on Trends in Antibiotic Research : genetics, biosyntheses, actions &amp; new substances / held in Tokyo, June 14-15, 1982 ; edited by Hamao Umezawa ... [et al.]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International Conference on Trends in Antibiotic Research (1982 : Tokyo, Japan)</t>
        </is>
      </c>
      <c r="L553" t="inlineStr">
        <is>
          <t>Tokyo : Japan Antibiotics Research Association, c1982.</t>
        </is>
      </c>
      <c r="M553" t="inlineStr">
        <is>
          <t>1982</t>
        </is>
      </c>
      <c r="O553" t="inlineStr">
        <is>
          <t>eng</t>
        </is>
      </c>
      <c r="P553" t="inlineStr">
        <is>
          <t xml:space="preserve">ja </t>
        </is>
      </c>
      <c r="R553" t="inlineStr">
        <is>
          <t xml:space="preserve">QV </t>
        </is>
      </c>
      <c r="S553" t="n">
        <v>8</v>
      </c>
      <c r="T553" t="n">
        <v>8</v>
      </c>
      <c r="U553" t="inlineStr">
        <is>
          <t>2002-04-04</t>
        </is>
      </c>
      <c r="V553" t="inlineStr">
        <is>
          <t>2002-04-04</t>
        </is>
      </c>
      <c r="W553" t="inlineStr">
        <is>
          <t>1988-02-09</t>
        </is>
      </c>
      <c r="X553" t="inlineStr">
        <is>
          <t>1988-02-09</t>
        </is>
      </c>
      <c r="Y553" t="n">
        <v>34</v>
      </c>
      <c r="Z553" t="n">
        <v>27</v>
      </c>
      <c r="AA553" t="n">
        <v>29</v>
      </c>
      <c r="AB553" t="n">
        <v>1</v>
      </c>
      <c r="AC553" t="n">
        <v>1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HYPERLINK("http://catalog.hathitrust.org/Record/001536856","HathiTrust Record")</f>
        <v/>
      </c>
      <c r="AS553">
        <f>HYPERLINK("https://creighton-primo.hosted.exlibrisgroup.com/primo-explore/search?tab=default_tab&amp;search_scope=EVERYTHING&amp;vid=01CRU&amp;lang=en_US&amp;offset=0&amp;query=any,contains,991000961889702656","Catalog Record")</f>
        <v/>
      </c>
      <c r="AT553">
        <f>HYPERLINK("http://www.worldcat.org/oclc/9517423","WorldCat Record")</f>
        <v/>
      </c>
    </row>
    <row r="554">
      <c r="A554" t="inlineStr">
        <is>
          <t>No</t>
        </is>
      </c>
      <c r="B554" t="inlineStr">
        <is>
          <t>QV 350 M378m 1958</t>
        </is>
      </c>
      <c r="C554" t="inlineStr">
        <is>
          <t>0                      QV 0350000M  378m        1958</t>
        </is>
      </c>
      <c r="D554" t="inlineStr">
        <is>
          <t>Men, molds, and history.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Martí-Ibáñez, Félix, 1915-1972.</t>
        </is>
      </c>
      <c r="L554" t="inlineStr">
        <is>
          <t>New York : MD Publications, inc., [1958]</t>
        </is>
      </c>
      <c r="M554" t="inlineStr">
        <is>
          <t>1958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QV </t>
        </is>
      </c>
      <c r="S554" t="n">
        <v>1</v>
      </c>
      <c r="T554" t="n">
        <v>1</v>
      </c>
      <c r="U554" t="inlineStr">
        <is>
          <t>1996-02-19</t>
        </is>
      </c>
      <c r="V554" t="inlineStr">
        <is>
          <t>1996-02-19</t>
        </is>
      </c>
      <c r="W554" t="inlineStr">
        <is>
          <t>1988-03-21</t>
        </is>
      </c>
      <c r="X554" t="inlineStr">
        <is>
          <t>1988-03-21</t>
        </is>
      </c>
      <c r="Y554" t="n">
        <v>256</v>
      </c>
      <c r="Z554" t="n">
        <v>217</v>
      </c>
      <c r="AA554" t="n">
        <v>224</v>
      </c>
      <c r="AB554" t="n">
        <v>1</v>
      </c>
      <c r="AC554" t="n">
        <v>1</v>
      </c>
      <c r="AD554" t="n">
        <v>6</v>
      </c>
      <c r="AE554" t="n">
        <v>6</v>
      </c>
      <c r="AF554" t="n">
        <v>5</v>
      </c>
      <c r="AG554" t="n">
        <v>5</v>
      </c>
      <c r="AH554" t="n">
        <v>0</v>
      </c>
      <c r="AI554" t="n">
        <v>0</v>
      </c>
      <c r="AJ554" t="n">
        <v>3</v>
      </c>
      <c r="AK554" t="n">
        <v>3</v>
      </c>
      <c r="AL554" t="n">
        <v>0</v>
      </c>
      <c r="AM554" t="n">
        <v>0</v>
      </c>
      <c r="AN554" t="n">
        <v>0</v>
      </c>
      <c r="AO554" t="n">
        <v>0</v>
      </c>
      <c r="AP554" t="inlineStr">
        <is>
          <t>Yes</t>
        </is>
      </c>
      <c r="AQ554" t="inlineStr">
        <is>
          <t>No</t>
        </is>
      </c>
      <c r="AR554">
        <f>HYPERLINK("http://catalog.hathitrust.org/Record/001572900","HathiTrust Record")</f>
        <v/>
      </c>
      <c r="AS554">
        <f>HYPERLINK("https://creighton-primo.hosted.exlibrisgroup.com/primo-explore/search?tab=default_tab&amp;search_scope=EVERYTHING&amp;vid=01CRU&amp;lang=en_US&amp;offset=0&amp;query=any,contains,991000961839702656","Catalog Record")</f>
        <v/>
      </c>
      <c r="AT554">
        <f>HYPERLINK("http://www.worldcat.org/oclc/654951","WorldCat Record")</f>
        <v/>
      </c>
    </row>
    <row r="555">
      <c r="A555" t="inlineStr">
        <is>
          <t>No</t>
        </is>
      </c>
      <c r="B555" t="inlineStr">
        <is>
          <t>QV 350 M478o 1982</t>
        </is>
      </c>
      <c r="C555" t="inlineStr">
        <is>
          <t>0                      QV 0350000M  478o        1982</t>
        </is>
      </c>
      <c r="D555" t="inlineStr">
        <is>
          <t>Outline guide to antimicrobial therapy / John E. McGowan, Jr.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McGowan, John E., 1942-</t>
        </is>
      </c>
      <c r="L555" t="inlineStr">
        <is>
          <t>Oradell, N.J. : Medical Economics Co., c1982.</t>
        </is>
      </c>
      <c r="M555" t="inlineStr">
        <is>
          <t>1982</t>
        </is>
      </c>
      <c r="O555" t="inlineStr">
        <is>
          <t>eng</t>
        </is>
      </c>
      <c r="P555" t="inlineStr">
        <is>
          <t>xxu</t>
        </is>
      </c>
      <c r="R555" t="inlineStr">
        <is>
          <t xml:space="preserve">QV </t>
        </is>
      </c>
      <c r="S555" t="n">
        <v>8</v>
      </c>
      <c r="T555" t="n">
        <v>8</v>
      </c>
      <c r="U555" t="inlineStr">
        <is>
          <t>1997-12-12</t>
        </is>
      </c>
      <c r="V555" t="inlineStr">
        <is>
          <t>1997-12-12</t>
        </is>
      </c>
      <c r="W555" t="inlineStr">
        <is>
          <t>1988-02-09</t>
        </is>
      </c>
      <c r="X555" t="inlineStr">
        <is>
          <t>1988-02-09</t>
        </is>
      </c>
      <c r="Y555" t="n">
        <v>52</v>
      </c>
      <c r="Z555" t="n">
        <v>40</v>
      </c>
      <c r="AA555" t="n">
        <v>40</v>
      </c>
      <c r="AB555" t="n">
        <v>1</v>
      </c>
      <c r="AC555" t="n">
        <v>1</v>
      </c>
      <c r="AD555" t="n">
        <v>1</v>
      </c>
      <c r="AE555" t="n">
        <v>1</v>
      </c>
      <c r="AF555" t="n">
        <v>1</v>
      </c>
      <c r="AG555" t="n">
        <v>1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HYPERLINK("https://creighton-primo.hosted.exlibrisgroup.com/primo-explore/search?tab=default_tab&amp;search_scope=EVERYTHING&amp;vid=01CRU&amp;lang=en_US&amp;offset=0&amp;query=any,contains,991000961789702656","Catalog Record")</f>
        <v/>
      </c>
      <c r="AT555">
        <f>HYPERLINK("http://www.worldcat.org/oclc/7671677","WorldCat Record")</f>
        <v/>
      </c>
    </row>
    <row r="556">
      <c r="A556" t="inlineStr">
        <is>
          <t>No</t>
        </is>
      </c>
      <c r="B556" t="inlineStr">
        <is>
          <t>QV 350 M613a 1991</t>
        </is>
      </c>
      <c r="C556" t="inlineStr">
        <is>
          <t>0                      QV 0350000M  613a        1991</t>
        </is>
      </c>
      <c r="D556" t="inlineStr">
        <is>
          <t>Antimicrobial therapy guide / by Burt R. Meyers.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Meyers, Burt R.</t>
        </is>
      </c>
      <c r="L556" t="inlineStr">
        <is>
          <t>Newtown, Pa. : Antimicrobial Prescribing, Inc., c1991.</t>
        </is>
      </c>
      <c r="M556" t="inlineStr">
        <is>
          <t>1991</t>
        </is>
      </c>
      <c r="N556" t="inlineStr">
        <is>
          <t>6th ed. 1991.</t>
        </is>
      </c>
      <c r="O556" t="inlineStr">
        <is>
          <t>eng</t>
        </is>
      </c>
      <c r="P556" t="inlineStr">
        <is>
          <t>pau</t>
        </is>
      </c>
      <c r="R556" t="inlineStr">
        <is>
          <t xml:space="preserve">QV </t>
        </is>
      </c>
      <c r="S556" t="n">
        <v>7</v>
      </c>
      <c r="T556" t="n">
        <v>7</v>
      </c>
      <c r="U556" t="inlineStr">
        <is>
          <t>1999-09-28</t>
        </is>
      </c>
      <c r="V556" t="inlineStr">
        <is>
          <t>1999-09-28</t>
        </is>
      </c>
      <c r="W556" t="inlineStr">
        <is>
          <t>1991-07-23</t>
        </is>
      </c>
      <c r="X556" t="inlineStr">
        <is>
          <t>1991-07-23</t>
        </is>
      </c>
      <c r="Y556" t="n">
        <v>12</v>
      </c>
      <c r="Z556" t="n">
        <v>11</v>
      </c>
      <c r="AA556" t="n">
        <v>593</v>
      </c>
      <c r="AB556" t="n">
        <v>1</v>
      </c>
      <c r="AC556" t="n">
        <v>5</v>
      </c>
      <c r="AD556" t="n">
        <v>0</v>
      </c>
      <c r="AE556" t="n">
        <v>11</v>
      </c>
      <c r="AF556" t="n">
        <v>0</v>
      </c>
      <c r="AG556" t="n">
        <v>3</v>
      </c>
      <c r="AH556" t="n">
        <v>0</v>
      </c>
      <c r="AI556" t="n">
        <v>3</v>
      </c>
      <c r="AJ556" t="n">
        <v>0</v>
      </c>
      <c r="AK556" t="n">
        <v>3</v>
      </c>
      <c r="AL556" t="n">
        <v>0</v>
      </c>
      <c r="AM556" t="n">
        <v>4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HYPERLINK("https://creighton-primo.hosted.exlibrisgroup.com/primo-explore/search?tab=default_tab&amp;search_scope=EVERYTHING&amp;vid=01CRU&amp;lang=en_US&amp;offset=0&amp;query=any,contains,991000943469702656","Catalog Record")</f>
        <v/>
      </c>
      <c r="AT556">
        <f>HYPERLINK("http://www.worldcat.org/oclc/23942893","WorldCat Record")</f>
        <v/>
      </c>
    </row>
    <row r="557">
      <c r="A557" t="inlineStr">
        <is>
          <t>No</t>
        </is>
      </c>
      <c r="B557" t="inlineStr">
        <is>
          <t>QV350 M626 1989</t>
        </is>
      </c>
      <c r="C557" t="inlineStr">
        <is>
          <t>0                      QV 0350000M  626         1989</t>
        </is>
      </c>
      <c r="D557" t="inlineStr">
        <is>
          <t>Microbial resistance to drugs / contributors, A. Böck ... [et al.] ; editor, L.E. Bryan.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L557" t="inlineStr">
        <is>
          <t>Berlin ; New York : Springer-Verlag, c1989.</t>
        </is>
      </c>
      <c r="M557" t="inlineStr">
        <is>
          <t>1989</t>
        </is>
      </c>
      <c r="O557" t="inlineStr">
        <is>
          <t>eng</t>
        </is>
      </c>
      <c r="P557" t="inlineStr">
        <is>
          <t xml:space="preserve">gw </t>
        </is>
      </c>
      <c r="Q557" t="inlineStr">
        <is>
          <t>Handbook of experimental pharmacology ; v. 91</t>
        </is>
      </c>
      <c r="R557" t="inlineStr">
        <is>
          <t xml:space="preserve">QV </t>
        </is>
      </c>
      <c r="S557" t="n">
        <v>22</v>
      </c>
      <c r="T557" t="n">
        <v>22</v>
      </c>
      <c r="U557" t="inlineStr">
        <is>
          <t>1999-01-25</t>
        </is>
      </c>
      <c r="V557" t="inlineStr">
        <is>
          <t>1999-01-25</t>
        </is>
      </c>
      <c r="W557" t="inlineStr">
        <is>
          <t>1989-10-13</t>
        </is>
      </c>
      <c r="X557" t="inlineStr">
        <is>
          <t>1989-10-13</t>
        </is>
      </c>
      <c r="Y557" t="n">
        <v>180</v>
      </c>
      <c r="Z557" t="n">
        <v>103</v>
      </c>
      <c r="AA557" t="n">
        <v>129</v>
      </c>
      <c r="AB557" t="n">
        <v>1</v>
      </c>
      <c r="AC557" t="n">
        <v>1</v>
      </c>
      <c r="AD557" t="n">
        <v>2</v>
      </c>
      <c r="AE557" t="n">
        <v>3</v>
      </c>
      <c r="AF557" t="n">
        <v>0</v>
      </c>
      <c r="AG557" t="n">
        <v>1</v>
      </c>
      <c r="AH557" t="n">
        <v>2</v>
      </c>
      <c r="AI557" t="n">
        <v>2</v>
      </c>
      <c r="AJ557" t="n">
        <v>0</v>
      </c>
      <c r="AK557" t="n">
        <v>1</v>
      </c>
      <c r="AL557" t="n">
        <v>0</v>
      </c>
      <c r="AM557" t="n">
        <v>0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HYPERLINK("http://catalog.hathitrust.org/Record/001295147","HathiTrust Record")</f>
        <v/>
      </c>
      <c r="AS557">
        <f>HYPERLINK("https://creighton-primo.hosted.exlibrisgroup.com/primo-explore/search?tab=default_tab&amp;search_scope=EVERYTHING&amp;vid=01CRU&amp;lang=en_US&amp;offset=0&amp;query=any,contains,991001354739702656","Catalog Record")</f>
        <v/>
      </c>
      <c r="AT557">
        <f>HYPERLINK("http://www.worldcat.org/oclc/19130217","WorldCat Record")</f>
        <v/>
      </c>
    </row>
    <row r="558">
      <c r="A558" t="inlineStr">
        <is>
          <t>No</t>
        </is>
      </c>
      <c r="B558" t="inlineStr">
        <is>
          <t>QV 350 P376a 1981</t>
        </is>
      </c>
      <c r="C558" t="inlineStr">
        <is>
          <t>0                      QV 0350000P  376a        1981</t>
        </is>
      </c>
      <c r="D558" t="inlineStr">
        <is>
          <t>Antibiotics in clinical medicine : case studies : 50 case histories related to the antibiotic treatment and prophylaxis of infectious diseases / by P. Samuel Pegram, and Joseph E. Johnson, III.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Pegram, P. Samuel.</t>
        </is>
      </c>
      <c r="L558" t="inlineStr">
        <is>
          <t>Garden City, N.Y. : Medical Examination Pub. Co., c1981.</t>
        </is>
      </c>
      <c r="M558" t="inlineStr">
        <is>
          <t>1981</t>
        </is>
      </c>
      <c r="O558" t="inlineStr">
        <is>
          <t>eng</t>
        </is>
      </c>
      <c r="P558" t="inlineStr">
        <is>
          <t>xxu</t>
        </is>
      </c>
      <c r="R558" t="inlineStr">
        <is>
          <t xml:space="preserve">QV </t>
        </is>
      </c>
      <c r="S558" t="n">
        <v>4</v>
      </c>
      <c r="T558" t="n">
        <v>4</v>
      </c>
      <c r="U558" t="inlineStr">
        <is>
          <t>1995-11-25</t>
        </is>
      </c>
      <c r="V558" t="inlineStr">
        <is>
          <t>1995-11-25</t>
        </is>
      </c>
      <c r="W558" t="inlineStr">
        <is>
          <t>1988-02-09</t>
        </is>
      </c>
      <c r="X558" t="inlineStr">
        <is>
          <t>1988-02-09</t>
        </is>
      </c>
      <c r="Y558" t="n">
        <v>47</v>
      </c>
      <c r="Z558" t="n">
        <v>40</v>
      </c>
      <c r="AA558" t="n">
        <v>40</v>
      </c>
      <c r="AB558" t="n">
        <v>1</v>
      </c>
      <c r="AC558" t="n">
        <v>1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0</v>
      </c>
      <c r="AM558" t="n">
        <v>0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HYPERLINK("https://creighton-primo.hosted.exlibrisgroup.com/primo-explore/search?tab=default_tab&amp;search_scope=EVERYTHING&amp;vid=01CRU&amp;lang=en_US&amp;offset=0&amp;query=any,contains,991000961749702656","Catalog Record")</f>
        <v/>
      </c>
      <c r="AT558">
        <f>HYPERLINK("http://www.worldcat.org/oclc/7463205","WorldCat Record")</f>
        <v/>
      </c>
    </row>
    <row r="559">
      <c r="A559" t="inlineStr">
        <is>
          <t>No</t>
        </is>
      </c>
      <c r="B559" t="inlineStr">
        <is>
          <t>QV 350 P916a 1953</t>
        </is>
      </c>
      <c r="C559" t="inlineStr">
        <is>
          <t>0                      QV 0350000P  916a        1953</t>
        </is>
      </c>
      <c r="D559" t="inlineStr">
        <is>
          <t>Antibiotics / by Robertson Pratt and Jean Dufrenoy.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Pratt, Robertson, 1909-1976.</t>
        </is>
      </c>
      <c r="L559" t="inlineStr">
        <is>
          <t>Philadelphia : Lippincott, 1953.</t>
        </is>
      </c>
      <c r="M559" t="inlineStr">
        <is>
          <t>1953</t>
        </is>
      </c>
      <c r="N559" t="inlineStr">
        <is>
          <t>2d ed.</t>
        </is>
      </c>
      <c r="O559" t="inlineStr">
        <is>
          <t>eng</t>
        </is>
      </c>
      <c r="P559" t="inlineStr">
        <is>
          <t>pau</t>
        </is>
      </c>
      <c r="R559" t="inlineStr">
        <is>
          <t xml:space="preserve">QV </t>
        </is>
      </c>
      <c r="S559" t="n">
        <v>7</v>
      </c>
      <c r="T559" t="n">
        <v>7</v>
      </c>
      <c r="U559" t="inlineStr">
        <is>
          <t>1997-10-24</t>
        </is>
      </c>
      <c r="V559" t="inlineStr">
        <is>
          <t>1997-10-24</t>
        </is>
      </c>
      <c r="W559" t="inlineStr">
        <is>
          <t>1988-02-09</t>
        </is>
      </c>
      <c r="X559" t="inlineStr">
        <is>
          <t>1988-02-09</t>
        </is>
      </c>
      <c r="Y559" t="n">
        <v>103</v>
      </c>
      <c r="Z559" t="n">
        <v>84</v>
      </c>
      <c r="AA559" t="n">
        <v>142</v>
      </c>
      <c r="AB559" t="n">
        <v>1</v>
      </c>
      <c r="AC559" t="n">
        <v>2</v>
      </c>
      <c r="AD559" t="n">
        <v>3</v>
      </c>
      <c r="AE559" t="n">
        <v>5</v>
      </c>
      <c r="AF559" t="n">
        <v>1</v>
      </c>
      <c r="AG559" t="n">
        <v>1</v>
      </c>
      <c r="AH559" t="n">
        <v>1</v>
      </c>
      <c r="AI559" t="n">
        <v>1</v>
      </c>
      <c r="AJ559" t="n">
        <v>1</v>
      </c>
      <c r="AK559" t="n">
        <v>2</v>
      </c>
      <c r="AL559" t="n">
        <v>0</v>
      </c>
      <c r="AM559" t="n">
        <v>1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HYPERLINK("http://catalog.hathitrust.org/Record/001572903","HathiTrust Record")</f>
        <v/>
      </c>
      <c r="AS559">
        <f>HYPERLINK("https://creighton-primo.hosted.exlibrisgroup.com/primo-explore/search?tab=default_tab&amp;search_scope=EVERYTHING&amp;vid=01CRU&amp;lang=en_US&amp;offset=0&amp;query=any,contains,991000961709702656","Catalog Record")</f>
        <v/>
      </c>
      <c r="AT559">
        <f>HYPERLINK("http://www.worldcat.org/oclc/1558942","WorldCat Record")</f>
        <v/>
      </c>
    </row>
    <row r="560">
      <c r="A560" t="inlineStr">
        <is>
          <t>No</t>
        </is>
      </c>
      <c r="B560" t="inlineStr">
        <is>
          <t>QV 350 P957 1998</t>
        </is>
      </c>
      <c r="C560" t="inlineStr">
        <is>
          <t>0                      QV 0350000P  957         1998</t>
        </is>
      </c>
      <c r="D560" t="inlineStr">
        <is>
          <t>Principles of judicious use of antimicrobial agents : a compendium for the health care professional / American Academy of Pediatrics.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Elk Grove Village, IL : American Academy of Pediatrics, 1998.</t>
        </is>
      </c>
      <c r="M560" t="inlineStr">
        <is>
          <t>1998</t>
        </is>
      </c>
      <c r="O560" t="inlineStr">
        <is>
          <t>eng</t>
        </is>
      </c>
      <c r="P560" t="inlineStr">
        <is>
          <t>ilu</t>
        </is>
      </c>
      <c r="R560" t="inlineStr">
        <is>
          <t xml:space="preserve">QV </t>
        </is>
      </c>
      <c r="S560" t="n">
        <v>2</v>
      </c>
      <c r="T560" t="n">
        <v>2</v>
      </c>
      <c r="U560" t="inlineStr">
        <is>
          <t>1999-06-23</t>
        </is>
      </c>
      <c r="V560" t="inlineStr">
        <is>
          <t>1999-06-23</t>
        </is>
      </c>
      <c r="W560" t="inlineStr">
        <is>
          <t>1999-06-23</t>
        </is>
      </c>
      <c r="X560" t="inlineStr">
        <is>
          <t>1999-06-23</t>
        </is>
      </c>
      <c r="Y560" t="n">
        <v>65</v>
      </c>
      <c r="Z560" t="n">
        <v>53</v>
      </c>
      <c r="AA560" t="n">
        <v>55</v>
      </c>
      <c r="AB560" t="n">
        <v>1</v>
      </c>
      <c r="AC560" t="n">
        <v>1</v>
      </c>
      <c r="AD560" t="n">
        <v>1</v>
      </c>
      <c r="AE560" t="n">
        <v>1</v>
      </c>
      <c r="AF560" t="n">
        <v>0</v>
      </c>
      <c r="AG560" t="n">
        <v>0</v>
      </c>
      <c r="AH560" t="n">
        <v>1</v>
      </c>
      <c r="AI560" t="n">
        <v>1</v>
      </c>
      <c r="AJ560" t="n">
        <v>1</v>
      </c>
      <c r="AK560" t="n">
        <v>1</v>
      </c>
      <c r="AL560" t="n">
        <v>0</v>
      </c>
      <c r="AM560" t="n">
        <v>0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HYPERLINK("http://catalog.hathitrust.org/Record/004029988","HathiTrust Record")</f>
        <v/>
      </c>
      <c r="AS560">
        <f>HYPERLINK("https://creighton-primo.hosted.exlibrisgroup.com/primo-explore/search?tab=default_tab&amp;search_scope=EVERYTHING&amp;vid=01CRU&amp;lang=en_US&amp;offset=0&amp;query=any,contains,991001550029702656","Catalog Record")</f>
        <v/>
      </c>
      <c r="AT560">
        <f>HYPERLINK("http://www.worldcat.org/oclc/44267945","WorldCat Record")</f>
        <v/>
      </c>
    </row>
    <row r="561">
      <c r="A561" t="inlineStr">
        <is>
          <t>No</t>
        </is>
      </c>
      <c r="B561" t="inlineStr">
        <is>
          <t>QV350 S215r 1983</t>
        </is>
      </c>
      <c r="C561" t="inlineStr">
        <is>
          <t>0                      QV 0350000S  215r        1983</t>
        </is>
      </c>
      <c r="D561" t="inlineStr">
        <is>
          <t>Resistance to beta-lactam antibiotics : new challenges from old enzymes / Christine C. Sanders.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Sanders, Christine C.</t>
        </is>
      </c>
      <c r="L561" t="inlineStr">
        <is>
          <t>Kalamazoo, MI : Upjohn Co., c1983.</t>
        </is>
      </c>
      <c r="M561" t="inlineStr">
        <is>
          <t>1983</t>
        </is>
      </c>
      <c r="O561" t="inlineStr">
        <is>
          <t>eng</t>
        </is>
      </c>
      <c r="P561" t="inlineStr">
        <is>
          <t>miu</t>
        </is>
      </c>
      <c r="R561" t="inlineStr">
        <is>
          <t xml:space="preserve">QV </t>
        </is>
      </c>
      <c r="S561" t="n">
        <v>4</v>
      </c>
      <c r="T561" t="n">
        <v>4</v>
      </c>
      <c r="U561" t="inlineStr">
        <is>
          <t>1999-10-12</t>
        </is>
      </c>
      <c r="V561" t="inlineStr">
        <is>
          <t>1999-10-12</t>
        </is>
      </c>
      <c r="W561" t="inlineStr">
        <is>
          <t>1988-02-09</t>
        </is>
      </c>
      <c r="X561" t="inlineStr">
        <is>
          <t>1988-02-09</t>
        </is>
      </c>
      <c r="Y561" t="n">
        <v>1</v>
      </c>
      <c r="Z561" t="n">
        <v>1</v>
      </c>
      <c r="AA561" t="n">
        <v>1</v>
      </c>
      <c r="AB561" t="n">
        <v>1</v>
      </c>
      <c r="AC561" t="n">
        <v>1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HYPERLINK("https://creighton-primo.hosted.exlibrisgroup.com/primo-explore/search?tab=default_tab&amp;search_scope=EVERYTHING&amp;vid=01CRU&amp;lang=en_US&amp;offset=0&amp;query=any,contains,991001276909702656","Catalog Record")</f>
        <v/>
      </c>
      <c r="AT561">
        <f>HYPERLINK("http://www.worldcat.org/oclc/16416478","WorldCat Record")</f>
        <v/>
      </c>
    </row>
    <row r="562">
      <c r="A562" t="inlineStr">
        <is>
          <t>No</t>
        </is>
      </c>
      <c r="B562" t="inlineStr">
        <is>
          <t>QV 350 W111a 1983</t>
        </is>
      </c>
      <c r="C562" t="inlineStr">
        <is>
          <t>0                      QV 0350000W  111a        1983</t>
        </is>
      </c>
      <c r="D562" t="inlineStr">
        <is>
          <t>Antibiotic choice : the importance of colonisation resistance / Dirk van der Waaij.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Waaij, Dirk van der, 1931-</t>
        </is>
      </c>
      <c r="L562" t="inlineStr">
        <is>
          <t>Chichester ; New York : Research Studies Press, c1983.</t>
        </is>
      </c>
      <c r="M562" t="inlineStr">
        <is>
          <t>1983</t>
        </is>
      </c>
      <c r="O562" t="inlineStr">
        <is>
          <t>eng</t>
        </is>
      </c>
      <c r="P562" t="inlineStr">
        <is>
          <t>enk</t>
        </is>
      </c>
      <c r="Q562" t="inlineStr">
        <is>
          <t>Antimicrobial chemotherapy series ; 5</t>
        </is>
      </c>
      <c r="R562" t="inlineStr">
        <is>
          <t xml:space="preserve">QV </t>
        </is>
      </c>
      <c r="S562" t="n">
        <v>5</v>
      </c>
      <c r="T562" t="n">
        <v>5</v>
      </c>
      <c r="U562" t="inlineStr">
        <is>
          <t>1998-10-11</t>
        </is>
      </c>
      <c r="V562" t="inlineStr">
        <is>
          <t>1998-10-11</t>
        </is>
      </c>
      <c r="W562" t="inlineStr">
        <is>
          <t>1988-02-09</t>
        </is>
      </c>
      <c r="X562" t="inlineStr">
        <is>
          <t>1988-02-09</t>
        </is>
      </c>
      <c r="Y562" t="n">
        <v>87</v>
      </c>
      <c r="Z562" t="n">
        <v>58</v>
      </c>
      <c r="AA562" t="n">
        <v>60</v>
      </c>
      <c r="AB562" t="n">
        <v>1</v>
      </c>
      <c r="AC562" t="n">
        <v>1</v>
      </c>
      <c r="AD562" t="n">
        <v>2</v>
      </c>
      <c r="AE562" t="n">
        <v>2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0</v>
      </c>
      <c r="AM562" t="n">
        <v>0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HYPERLINK("http://catalog.hathitrust.org/Record/000461913","HathiTrust Record")</f>
        <v/>
      </c>
      <c r="AS562">
        <f>HYPERLINK("https://creighton-primo.hosted.exlibrisgroup.com/primo-explore/search?tab=default_tab&amp;search_scope=EVERYTHING&amp;vid=01CRU&amp;lang=en_US&amp;offset=0&amp;query=any,contains,991000962509702656","Catalog Record")</f>
        <v/>
      </c>
      <c r="AT562">
        <f>HYPERLINK("http://www.worldcat.org/oclc/10174746","WorldCat Record")</f>
        <v/>
      </c>
    </row>
    <row r="563">
      <c r="A563" t="inlineStr">
        <is>
          <t>No</t>
        </is>
      </c>
      <c r="B563" t="inlineStr">
        <is>
          <t>QV 350 W439a 1951</t>
        </is>
      </c>
      <c r="C563" t="inlineStr">
        <is>
          <t>0                      QV 0350000W  439a        1951</t>
        </is>
      </c>
      <c r="D563" t="inlineStr">
        <is>
          <t>Antibiotic therapy / by Henry Welch and Charles N. Lewis ; Foreword by Chester S. Keefer.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Welch, Henry, 1902-</t>
        </is>
      </c>
      <c r="L563" t="inlineStr">
        <is>
          <t>Washington : Arundel Press, 1951</t>
        </is>
      </c>
      <c r="M563" t="inlineStr">
        <is>
          <t>1951</t>
        </is>
      </c>
      <c r="O563" t="inlineStr">
        <is>
          <t>eng</t>
        </is>
      </c>
      <c r="P563" t="inlineStr">
        <is>
          <t>dcu</t>
        </is>
      </c>
      <c r="R563" t="inlineStr">
        <is>
          <t xml:space="preserve">QV </t>
        </is>
      </c>
      <c r="S563" t="n">
        <v>1</v>
      </c>
      <c r="T563" t="n">
        <v>1</v>
      </c>
      <c r="U563" t="inlineStr">
        <is>
          <t>1997-09-28</t>
        </is>
      </c>
      <c r="V563" t="inlineStr">
        <is>
          <t>1997-09-28</t>
        </is>
      </c>
      <c r="W563" t="inlineStr">
        <is>
          <t>1988-03-24</t>
        </is>
      </c>
      <c r="X563" t="inlineStr">
        <is>
          <t>1988-03-24</t>
        </is>
      </c>
      <c r="Y563" t="n">
        <v>78</v>
      </c>
      <c r="Z563" t="n">
        <v>71</v>
      </c>
      <c r="AA563" t="n">
        <v>105</v>
      </c>
      <c r="AB563" t="n">
        <v>2</v>
      </c>
      <c r="AC563" t="n">
        <v>2</v>
      </c>
      <c r="AD563" t="n">
        <v>1</v>
      </c>
      <c r="AE563" t="n">
        <v>3</v>
      </c>
      <c r="AF563" t="n">
        <v>0</v>
      </c>
      <c r="AG563" t="n">
        <v>0</v>
      </c>
      <c r="AH563" t="n">
        <v>0</v>
      </c>
      <c r="AI563" t="n">
        <v>1</v>
      </c>
      <c r="AJ563" t="n">
        <v>0</v>
      </c>
      <c r="AK563" t="n">
        <v>1</v>
      </c>
      <c r="AL563" t="n">
        <v>1</v>
      </c>
      <c r="AM563" t="n">
        <v>1</v>
      </c>
      <c r="AN563" t="n">
        <v>0</v>
      </c>
      <c r="AO563" t="n">
        <v>0</v>
      </c>
      <c r="AP563" t="inlineStr">
        <is>
          <t>Yes</t>
        </is>
      </c>
      <c r="AQ563" t="inlineStr">
        <is>
          <t>No</t>
        </is>
      </c>
      <c r="AR563">
        <f>HYPERLINK("http://catalog.hathitrust.org/Record/001572908","HathiTrust Record")</f>
        <v/>
      </c>
      <c r="AS563">
        <f>HYPERLINK("https://creighton-primo.hosted.exlibrisgroup.com/primo-explore/search?tab=default_tab&amp;search_scope=EVERYTHING&amp;vid=01CRU&amp;lang=en_US&amp;offset=0&amp;query=any,contains,991000962449702656","Catalog Record")</f>
        <v/>
      </c>
      <c r="AT563">
        <f>HYPERLINK("http://www.worldcat.org/oclc/3199443","WorldCat Record")</f>
        <v/>
      </c>
    </row>
    <row r="564">
      <c r="A564" t="inlineStr">
        <is>
          <t>No</t>
        </is>
      </c>
      <c r="B564" t="inlineStr">
        <is>
          <t>QV 350 WH38p 1954</t>
        </is>
      </c>
      <c r="C564" t="inlineStr">
        <is>
          <t>0                      QV 0350000WH 38p         1954</t>
        </is>
      </c>
      <c r="D564" t="inlineStr">
        <is>
          <t>Principles and practice of antibiotic therapy / by Henry Welch in collaboration with [Alson E.] Braley [and others] Specially edited by Félix Martí-Ibáñex.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Welch, Henry, 1902-</t>
        </is>
      </c>
      <c r="L564" t="inlineStr">
        <is>
          <t>New York : Medical Encyclopedia, Inc.; distributed by Blakiston Co., 1954.</t>
        </is>
      </c>
      <c r="M564" t="inlineStr">
        <is>
          <t>1954</t>
        </is>
      </c>
      <c r="O564" t="inlineStr">
        <is>
          <t>eng</t>
        </is>
      </c>
      <c r="P564" t="inlineStr">
        <is>
          <t>nyu</t>
        </is>
      </c>
      <c r="R564" t="inlineStr">
        <is>
          <t xml:space="preserve">QV </t>
        </is>
      </c>
      <c r="S564" t="n">
        <v>5</v>
      </c>
      <c r="T564" t="n">
        <v>5</v>
      </c>
      <c r="U564" t="inlineStr">
        <is>
          <t>1992-11-30</t>
        </is>
      </c>
      <c r="V564" t="inlineStr">
        <is>
          <t>1992-11-30</t>
        </is>
      </c>
      <c r="W564" t="inlineStr">
        <is>
          <t>1988-03-24</t>
        </is>
      </c>
      <c r="X564" t="inlineStr">
        <is>
          <t>1988-03-24</t>
        </is>
      </c>
      <c r="Y564" t="n">
        <v>148</v>
      </c>
      <c r="Z564" t="n">
        <v>113</v>
      </c>
      <c r="AA564" t="n">
        <v>115</v>
      </c>
      <c r="AB564" t="n">
        <v>2</v>
      </c>
      <c r="AC564" t="n">
        <v>2</v>
      </c>
      <c r="AD564" t="n">
        <v>6</v>
      </c>
      <c r="AE564" t="n">
        <v>6</v>
      </c>
      <c r="AF564" t="n">
        <v>3</v>
      </c>
      <c r="AG564" t="n">
        <v>3</v>
      </c>
      <c r="AH564" t="n">
        <v>1</v>
      </c>
      <c r="AI564" t="n">
        <v>1</v>
      </c>
      <c r="AJ564" t="n">
        <v>3</v>
      </c>
      <c r="AK564" t="n">
        <v>3</v>
      </c>
      <c r="AL564" t="n">
        <v>1</v>
      </c>
      <c r="AM564" t="n">
        <v>1</v>
      </c>
      <c r="AN564" t="n">
        <v>0</v>
      </c>
      <c r="AO564" t="n">
        <v>0</v>
      </c>
      <c r="AP564" t="inlineStr">
        <is>
          <t>No</t>
        </is>
      </c>
      <c r="AQ564" t="inlineStr">
        <is>
          <t>No</t>
        </is>
      </c>
      <c r="AR564">
        <f>HYPERLINK("http://catalog.hathitrust.org/Record/001572909","HathiTrust Record")</f>
        <v/>
      </c>
      <c r="AS564">
        <f>HYPERLINK("https://creighton-primo.hosted.exlibrisgroup.com/primo-explore/search?tab=default_tab&amp;search_scope=EVERYTHING&amp;vid=01CRU&amp;lang=en_US&amp;offset=0&amp;query=any,contains,991000962419702656","Catalog Record")</f>
        <v/>
      </c>
      <c r="AT564">
        <f>HYPERLINK("http://www.worldcat.org/oclc/2392199","WorldCat Record")</f>
        <v/>
      </c>
    </row>
    <row r="565">
      <c r="A565" t="inlineStr">
        <is>
          <t>No</t>
        </is>
      </c>
      <c r="B565" t="inlineStr">
        <is>
          <t>QV 354 A127r 1945</t>
        </is>
      </c>
      <c r="C565" t="inlineStr">
        <is>
          <t>0                      QV 0354000A  127r        1945</t>
        </is>
      </c>
      <c r="D565" t="inlineStr">
        <is>
          <t>A review of the present information concerning penicillin / Abbott Laboratories.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Abbott Laboratories.</t>
        </is>
      </c>
      <c r="L565" t="inlineStr">
        <is>
          <t>North Chicago, IL. : Abbott Laboratories, c1945.</t>
        </is>
      </c>
      <c r="M565" t="inlineStr">
        <is>
          <t>1945</t>
        </is>
      </c>
      <c r="N565" t="inlineStr">
        <is>
          <t>Completely rev. ed.</t>
        </is>
      </c>
      <c r="O565" t="inlineStr">
        <is>
          <t>eng</t>
        </is>
      </c>
      <c r="P565" t="inlineStr">
        <is>
          <t>ilu</t>
        </is>
      </c>
      <c r="R565" t="inlineStr">
        <is>
          <t xml:space="preserve">QV </t>
        </is>
      </c>
      <c r="S565" t="n">
        <v>5</v>
      </c>
      <c r="T565" t="n">
        <v>5</v>
      </c>
      <c r="U565" t="inlineStr">
        <is>
          <t>2000-01-22</t>
        </is>
      </c>
      <c r="V565" t="inlineStr">
        <is>
          <t>2000-01-22</t>
        </is>
      </c>
      <c r="W565" t="inlineStr">
        <is>
          <t>1988-02-09</t>
        </is>
      </c>
      <c r="X565" t="inlineStr">
        <is>
          <t>1988-02-09</t>
        </is>
      </c>
      <c r="Y565" t="n">
        <v>24</v>
      </c>
      <c r="Z565" t="n">
        <v>22</v>
      </c>
      <c r="AA565" t="n">
        <v>65</v>
      </c>
      <c r="AB565" t="n">
        <v>1</v>
      </c>
      <c r="AC565" t="n">
        <v>1</v>
      </c>
      <c r="AD565" t="n">
        <v>0</v>
      </c>
      <c r="AE565" t="n">
        <v>2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2</v>
      </c>
      <c r="AL565" t="n">
        <v>0</v>
      </c>
      <c r="AM565" t="n">
        <v>0</v>
      </c>
      <c r="AN565" t="n">
        <v>0</v>
      </c>
      <c r="AO565" t="n">
        <v>0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HYPERLINK("https://creighton-primo.hosted.exlibrisgroup.com/primo-explore/search?tab=default_tab&amp;search_scope=EVERYTHING&amp;vid=01CRU&amp;lang=en_US&amp;offset=0&amp;query=any,contains,991000962379702656","Catalog Record")</f>
        <v/>
      </c>
      <c r="AT565">
        <f>HYPERLINK("http://www.worldcat.org/oclc/2108511","WorldCat Record")</f>
        <v/>
      </c>
    </row>
    <row r="566">
      <c r="A566" t="inlineStr">
        <is>
          <t>No</t>
        </is>
      </c>
      <c r="B566" t="inlineStr">
        <is>
          <t>QV 354 F598p 1946</t>
        </is>
      </c>
      <c r="C566" t="inlineStr">
        <is>
          <t>0                      QV 0354000F  598p        1946</t>
        </is>
      </c>
      <c r="D566" t="inlineStr">
        <is>
          <t>Penicillin : its practical application / under the general editorship of Professor Sir Alexander Fleming.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Fleming, Alexander, Sir, 1881-1955 editor.</t>
        </is>
      </c>
      <c r="L566" t="inlineStr">
        <is>
          <t>Philadelphia : Blakiston, 1946.</t>
        </is>
      </c>
      <c r="M566" t="inlineStr">
        <is>
          <t>1946</t>
        </is>
      </c>
      <c r="O566" t="inlineStr">
        <is>
          <t>eng</t>
        </is>
      </c>
      <c r="P566" t="inlineStr">
        <is>
          <t xml:space="preserve">xx </t>
        </is>
      </c>
      <c r="R566" t="inlineStr">
        <is>
          <t xml:space="preserve">QV </t>
        </is>
      </c>
      <c r="S566" t="n">
        <v>3</v>
      </c>
      <c r="T566" t="n">
        <v>3</v>
      </c>
      <c r="U566" t="inlineStr">
        <is>
          <t>2000-01-22</t>
        </is>
      </c>
      <c r="V566" t="inlineStr">
        <is>
          <t>2000-01-22</t>
        </is>
      </c>
      <c r="W566" t="inlineStr">
        <is>
          <t>1988-02-09</t>
        </is>
      </c>
      <c r="X566" t="inlineStr">
        <is>
          <t>1988-02-09</t>
        </is>
      </c>
      <c r="Y566" t="n">
        <v>144</v>
      </c>
      <c r="Z566" t="n">
        <v>128</v>
      </c>
      <c r="AA566" t="n">
        <v>230</v>
      </c>
      <c r="AB566" t="n">
        <v>2</v>
      </c>
      <c r="AC566" t="n">
        <v>2</v>
      </c>
      <c r="AD566" t="n">
        <v>7</v>
      </c>
      <c r="AE566" t="n">
        <v>9</v>
      </c>
      <c r="AF566" t="n">
        <v>2</v>
      </c>
      <c r="AG566" t="n">
        <v>3</v>
      </c>
      <c r="AH566" t="n">
        <v>2</v>
      </c>
      <c r="AI566" t="n">
        <v>2</v>
      </c>
      <c r="AJ566" t="n">
        <v>3</v>
      </c>
      <c r="AK566" t="n">
        <v>4</v>
      </c>
      <c r="AL566" t="n">
        <v>1</v>
      </c>
      <c r="AM566" t="n">
        <v>1</v>
      </c>
      <c r="AN566" t="n">
        <v>0</v>
      </c>
      <c r="AO566" t="n">
        <v>0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HYPERLINK("https://creighton-primo.hosted.exlibrisgroup.com/primo-explore/search?tab=default_tab&amp;search_scope=EVERYTHING&amp;vid=01CRU&amp;lang=en_US&amp;offset=0&amp;query=any,contains,991000962299702656","Catalog Record")</f>
        <v/>
      </c>
      <c r="AT566">
        <f>HYPERLINK("http://www.worldcat.org/oclc/3251217","WorldCat Record")</f>
        <v/>
      </c>
    </row>
    <row r="567">
      <c r="A567" t="inlineStr">
        <is>
          <t>No</t>
        </is>
      </c>
      <c r="B567" t="inlineStr">
        <is>
          <t>QV 354 H564p 1945</t>
        </is>
      </c>
      <c r="C567" t="inlineStr">
        <is>
          <t>0                      QV 0354000H  564p        1945</t>
        </is>
      </c>
      <c r="D567" t="inlineStr">
        <is>
          <t>Penicillin and other antibiotic agents / by Wallace E. Herrell.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Herrell, Wallace Edgar.</t>
        </is>
      </c>
      <c r="L567" t="inlineStr">
        <is>
          <t>Philadelphia : Saunders, c1945.</t>
        </is>
      </c>
      <c r="M567" t="inlineStr">
        <is>
          <t>1945</t>
        </is>
      </c>
      <c r="O567" t="inlineStr">
        <is>
          <t>eng</t>
        </is>
      </c>
      <c r="P567" t="inlineStr">
        <is>
          <t>pau</t>
        </is>
      </c>
      <c r="R567" t="inlineStr">
        <is>
          <t xml:space="preserve">QV </t>
        </is>
      </c>
      <c r="S567" t="n">
        <v>6</v>
      </c>
      <c r="T567" t="n">
        <v>6</v>
      </c>
      <c r="U567" t="inlineStr">
        <is>
          <t>2000-01-22</t>
        </is>
      </c>
      <c r="V567" t="inlineStr">
        <is>
          <t>2000-01-22</t>
        </is>
      </c>
      <c r="W567" t="inlineStr">
        <is>
          <t>1988-02-09</t>
        </is>
      </c>
      <c r="X567" t="inlineStr">
        <is>
          <t>1988-02-09</t>
        </is>
      </c>
      <c r="Y567" t="n">
        <v>198</v>
      </c>
      <c r="Z567" t="n">
        <v>155</v>
      </c>
      <c r="AA567" t="n">
        <v>195</v>
      </c>
      <c r="AB567" t="n">
        <v>3</v>
      </c>
      <c r="AC567" t="n">
        <v>3</v>
      </c>
      <c r="AD567" t="n">
        <v>6</v>
      </c>
      <c r="AE567" t="n">
        <v>6</v>
      </c>
      <c r="AF567" t="n">
        <v>2</v>
      </c>
      <c r="AG567" t="n">
        <v>2</v>
      </c>
      <c r="AH567" t="n">
        <v>1</v>
      </c>
      <c r="AI567" t="n">
        <v>1</v>
      </c>
      <c r="AJ567" t="n">
        <v>1</v>
      </c>
      <c r="AK567" t="n">
        <v>1</v>
      </c>
      <c r="AL567" t="n">
        <v>2</v>
      </c>
      <c r="AM567" t="n">
        <v>2</v>
      </c>
      <c r="AN567" t="n">
        <v>0</v>
      </c>
      <c r="AO567" t="n">
        <v>0</v>
      </c>
      <c r="AP567" t="inlineStr">
        <is>
          <t>Yes</t>
        </is>
      </c>
      <c r="AQ567" t="inlineStr">
        <is>
          <t>No</t>
        </is>
      </c>
      <c r="AR567">
        <f>HYPERLINK("http://catalog.hathitrust.org/Record/001582133","HathiTrust Record")</f>
        <v/>
      </c>
      <c r="AS567">
        <f>HYPERLINK("https://creighton-primo.hosted.exlibrisgroup.com/primo-explore/search?tab=default_tab&amp;search_scope=EVERYTHING&amp;vid=01CRU&amp;lang=en_US&amp;offset=0&amp;query=any,contains,991000962339702656","Catalog Record")</f>
        <v/>
      </c>
      <c r="AT567">
        <f>HYPERLINK("http://www.worldcat.org/oclc/3641644","WorldCat Record")</f>
        <v/>
      </c>
    </row>
    <row r="568">
      <c r="A568" t="inlineStr">
        <is>
          <t>No</t>
        </is>
      </c>
      <c r="B568" t="inlineStr">
        <is>
          <t>QV 354 N277c 1949</t>
        </is>
      </c>
      <c r="C568" t="inlineStr">
        <is>
          <t>0                      QV 0354000N  277c        1949</t>
        </is>
      </c>
      <c r="D568" t="inlineStr">
        <is>
      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1</t>
        </is>
      </c>
      <c r="K568" t="inlineStr">
        <is>
          <t>National Academy of Sciences (U.S.).</t>
        </is>
      </c>
      <c r="L568" t="inlineStr">
        <is>
          <t>Princeton : Princeton Univ. Press, c1949.</t>
        </is>
      </c>
      <c r="M568" t="inlineStr">
        <is>
          <t>1949</t>
        </is>
      </c>
      <c r="O568" t="inlineStr">
        <is>
          <t>eng</t>
        </is>
      </c>
      <c r="P568" t="inlineStr">
        <is>
          <t>nju</t>
        </is>
      </c>
      <c r="R568" t="inlineStr">
        <is>
          <t xml:space="preserve">QV </t>
        </is>
      </c>
      <c r="S568" t="n">
        <v>4</v>
      </c>
      <c r="T568" t="n">
        <v>4</v>
      </c>
      <c r="U568" t="inlineStr">
        <is>
          <t>2000-01-20</t>
        </is>
      </c>
      <c r="V568" t="inlineStr">
        <is>
          <t>2000-01-20</t>
        </is>
      </c>
      <c r="W568" t="inlineStr">
        <is>
          <t>1988-02-09</t>
        </is>
      </c>
      <c r="X568" t="inlineStr">
        <is>
          <t>1988-02-09</t>
        </is>
      </c>
      <c r="Y568" t="n">
        <v>344</v>
      </c>
      <c r="Z568" t="n">
        <v>297</v>
      </c>
      <c r="AA568" t="n">
        <v>306</v>
      </c>
      <c r="AB568" t="n">
        <v>2</v>
      </c>
      <c r="AC568" t="n">
        <v>2</v>
      </c>
      <c r="AD568" t="n">
        <v>12</v>
      </c>
      <c r="AE568" t="n">
        <v>12</v>
      </c>
      <c r="AF568" t="n">
        <v>3</v>
      </c>
      <c r="AG568" t="n">
        <v>3</v>
      </c>
      <c r="AH568" t="n">
        <v>3</v>
      </c>
      <c r="AI568" t="n">
        <v>3</v>
      </c>
      <c r="AJ568" t="n">
        <v>7</v>
      </c>
      <c r="AK568" t="n">
        <v>7</v>
      </c>
      <c r="AL568" t="n">
        <v>1</v>
      </c>
      <c r="AM568" t="n">
        <v>1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R568">
        <f>HYPERLINK("http://catalog.hathitrust.org/Record/002089704","HathiTrust Record")</f>
        <v/>
      </c>
      <c r="AS568">
        <f>HYPERLINK("https://creighton-primo.hosted.exlibrisgroup.com/primo-explore/search?tab=default_tab&amp;search_scope=EVERYTHING&amp;vid=01CRU&amp;lang=en_US&amp;offset=0&amp;query=any,contains,991000962239702656","Catalog Record")</f>
        <v/>
      </c>
      <c r="AT568">
        <f>HYPERLINK("http://www.worldcat.org/oclc/14646149","WorldCat Record")</f>
        <v/>
      </c>
    </row>
    <row r="569">
      <c r="A569" t="inlineStr">
        <is>
          <t>No</t>
        </is>
      </c>
      <c r="B569" t="inlineStr">
        <is>
          <t>QV 354 S541e 1982</t>
        </is>
      </c>
      <c r="C569" t="inlineStr">
        <is>
          <t>0                      QV 0354000S  541e        1982</t>
        </is>
      </c>
      <c r="D569" t="inlineStr">
        <is>
          <t>The enchanted ring : the untold story of penicillin / John C. Sheehan.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Sheehan, John C.</t>
        </is>
      </c>
      <c r="L569" t="inlineStr">
        <is>
          <t>Cambridge, Mass. : MIT Press, c1982.</t>
        </is>
      </c>
      <c r="M569" t="inlineStr">
        <is>
          <t>1982</t>
        </is>
      </c>
      <c r="O569" t="inlineStr">
        <is>
          <t>eng</t>
        </is>
      </c>
      <c r="P569" t="inlineStr">
        <is>
          <t>xxu</t>
        </is>
      </c>
      <c r="R569" t="inlineStr">
        <is>
          <t xml:space="preserve">QV </t>
        </is>
      </c>
      <c r="S569" t="n">
        <v>5</v>
      </c>
      <c r="T569" t="n">
        <v>5</v>
      </c>
      <c r="U569" t="inlineStr">
        <is>
          <t>2004-02-07</t>
        </is>
      </c>
      <c r="V569" t="inlineStr">
        <is>
          <t>2004-02-07</t>
        </is>
      </c>
      <c r="W569" t="inlineStr">
        <is>
          <t>1988-02-09</t>
        </is>
      </c>
      <c r="X569" t="inlineStr">
        <is>
          <t>1988-02-09</t>
        </is>
      </c>
      <c r="Y569" t="n">
        <v>691</v>
      </c>
      <c r="Z569" t="n">
        <v>584</v>
      </c>
      <c r="AA569" t="n">
        <v>595</v>
      </c>
      <c r="AB569" t="n">
        <v>5</v>
      </c>
      <c r="AC569" t="n">
        <v>5</v>
      </c>
      <c r="AD569" t="n">
        <v>28</v>
      </c>
      <c r="AE569" t="n">
        <v>29</v>
      </c>
      <c r="AF569" t="n">
        <v>16</v>
      </c>
      <c r="AG569" t="n">
        <v>16</v>
      </c>
      <c r="AH569" t="n">
        <v>5</v>
      </c>
      <c r="AI569" t="n">
        <v>5</v>
      </c>
      <c r="AJ569" t="n">
        <v>10</v>
      </c>
      <c r="AK569" t="n">
        <v>11</v>
      </c>
      <c r="AL569" t="n">
        <v>4</v>
      </c>
      <c r="AM569" t="n">
        <v>4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HYPERLINK("https://creighton-primo.hosted.exlibrisgroup.com/primo-explore/search?tab=default_tab&amp;search_scope=EVERYTHING&amp;vid=01CRU&amp;lang=en_US&amp;offset=0&amp;query=any,contains,991000962119702656","Catalog Record")</f>
        <v/>
      </c>
      <c r="AT569">
        <f>HYPERLINK("http://www.worldcat.org/oclc/8170304","WorldCat Record")</f>
        <v/>
      </c>
    </row>
    <row r="570">
      <c r="A570" t="inlineStr">
        <is>
          <t>No</t>
        </is>
      </c>
      <c r="B570" t="inlineStr">
        <is>
          <t>QV 354 S654p 1951</t>
        </is>
      </c>
      <c r="C570" t="inlineStr">
        <is>
          <t>0                      QV 0354000S  654p        1951</t>
        </is>
      </c>
      <c r="D570" t="inlineStr">
        <is>
          <t>Penicillin decade, 1941-1951 : sensitizations and toxicities / by Lawrence Weld Smith and Ann Dolan Walker.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Smith, Lawrence Weld.</t>
        </is>
      </c>
      <c r="L570" t="inlineStr">
        <is>
          <t>Washington : Arundel Press, c1951.</t>
        </is>
      </c>
      <c r="M570" t="inlineStr">
        <is>
          <t>1951</t>
        </is>
      </c>
      <c r="O570" t="inlineStr">
        <is>
          <t>eng</t>
        </is>
      </c>
      <c r="P570" t="inlineStr">
        <is>
          <t>dcu</t>
        </is>
      </c>
      <c r="R570" t="inlineStr">
        <is>
          <t xml:space="preserve">QV </t>
        </is>
      </c>
      <c r="S570" t="n">
        <v>4</v>
      </c>
      <c r="T570" t="n">
        <v>4</v>
      </c>
      <c r="U570" t="inlineStr">
        <is>
          <t>2000-01-22</t>
        </is>
      </c>
      <c r="V570" t="inlineStr">
        <is>
          <t>2000-01-22</t>
        </is>
      </c>
      <c r="W570" t="inlineStr">
        <is>
          <t>1988-02-09</t>
        </is>
      </c>
      <c r="X570" t="inlineStr">
        <is>
          <t>1988-02-09</t>
        </is>
      </c>
      <c r="Y570" t="n">
        <v>78</v>
      </c>
      <c r="Z570" t="n">
        <v>70</v>
      </c>
      <c r="AA570" t="n">
        <v>76</v>
      </c>
      <c r="AB570" t="n">
        <v>1</v>
      </c>
      <c r="AC570" t="n">
        <v>1</v>
      </c>
      <c r="AD570" t="n">
        <v>1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1</v>
      </c>
      <c r="AK570" t="n">
        <v>1</v>
      </c>
      <c r="AL570" t="n">
        <v>0</v>
      </c>
      <c r="AM570" t="n">
        <v>0</v>
      </c>
      <c r="AN570" t="n">
        <v>0</v>
      </c>
      <c r="AO570" t="n">
        <v>0</v>
      </c>
      <c r="AP570" t="inlineStr">
        <is>
          <t>Yes</t>
        </is>
      </c>
      <c r="AQ570" t="inlineStr">
        <is>
          <t>No</t>
        </is>
      </c>
      <c r="AR570">
        <f>HYPERLINK("http://catalog.hathitrust.org/Record/001582155","HathiTrust Record")</f>
        <v/>
      </c>
      <c r="AS570">
        <f>HYPERLINK("https://creighton-primo.hosted.exlibrisgroup.com/primo-explore/search?tab=default_tab&amp;search_scope=EVERYTHING&amp;vid=01CRU&amp;lang=en_US&amp;offset=0&amp;query=any,contains,991000962199702656","Catalog Record")</f>
        <v/>
      </c>
      <c r="AT570">
        <f>HYPERLINK("http://www.worldcat.org/oclc/374418","WorldCat Record")</f>
        <v/>
      </c>
    </row>
    <row r="571">
      <c r="A571" t="inlineStr">
        <is>
          <t>No</t>
        </is>
      </c>
      <c r="B571" t="inlineStr">
        <is>
          <t>QV 600 A681p 1979</t>
        </is>
      </c>
      <c r="C571" t="inlineStr">
        <is>
          <t>0                      QV 0600000A  681p        1979</t>
        </is>
      </c>
      <c r="D571" t="inlineStr">
        <is>
          <t>Poisoning : toxicology, symptoms, treatments / by Jay M. Arena.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Yes</t>
        </is>
      </c>
      <c r="J571" t="inlineStr">
        <is>
          <t>0</t>
        </is>
      </c>
      <c r="K571" t="inlineStr">
        <is>
          <t>Arena, Jay M.</t>
        </is>
      </c>
      <c r="L571" t="inlineStr">
        <is>
          <t>Springfield, Ill. : Thomas, c1979.</t>
        </is>
      </c>
      <c r="M571" t="inlineStr">
        <is>
          <t>1979</t>
        </is>
      </c>
      <c r="N571" t="inlineStr">
        <is>
          <t>4th ed.</t>
        </is>
      </c>
      <c r="O571" t="inlineStr">
        <is>
          <t>eng</t>
        </is>
      </c>
      <c r="P571" t="inlineStr">
        <is>
          <t xml:space="preserve">xx </t>
        </is>
      </c>
      <c r="Q571" t="inlineStr">
        <is>
          <t>American lecture series ; no. 1019 : American lectures in living chemistry</t>
        </is>
      </c>
      <c r="R571" t="inlineStr">
        <is>
          <t xml:space="preserve">QV </t>
        </is>
      </c>
      <c r="S571" t="n">
        <v>12</v>
      </c>
      <c r="T571" t="n">
        <v>12</v>
      </c>
      <c r="U571" t="inlineStr">
        <is>
          <t>1991-11-12</t>
        </is>
      </c>
      <c r="V571" t="inlineStr">
        <is>
          <t>1991-11-12</t>
        </is>
      </c>
      <c r="W571" t="inlineStr">
        <is>
          <t>1988-12-30</t>
        </is>
      </c>
      <c r="X571" t="inlineStr">
        <is>
          <t>1988-12-30</t>
        </is>
      </c>
      <c r="Y571" t="n">
        <v>304</v>
      </c>
      <c r="Z571" t="n">
        <v>260</v>
      </c>
      <c r="AA571" t="n">
        <v>575</v>
      </c>
      <c r="AB571" t="n">
        <v>2</v>
      </c>
      <c r="AC571" t="n">
        <v>3</v>
      </c>
      <c r="AD571" t="n">
        <v>4</v>
      </c>
      <c r="AE571" t="n">
        <v>12</v>
      </c>
      <c r="AF571" t="n">
        <v>1</v>
      </c>
      <c r="AG571" t="n">
        <v>4</v>
      </c>
      <c r="AH571" t="n">
        <v>1</v>
      </c>
      <c r="AI571" t="n">
        <v>3</v>
      </c>
      <c r="AJ571" t="n">
        <v>1</v>
      </c>
      <c r="AK571" t="n">
        <v>2</v>
      </c>
      <c r="AL571" t="n">
        <v>1</v>
      </c>
      <c r="AM571" t="n">
        <v>2</v>
      </c>
      <c r="AN571" t="n">
        <v>1</v>
      </c>
      <c r="AO571" t="n">
        <v>2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HYPERLINK("http://catalog.hathitrust.org/Record/000707118","HathiTrust Record")</f>
        <v/>
      </c>
      <c r="AS571">
        <f>HYPERLINK("https://creighton-primo.hosted.exlibrisgroup.com/primo-explore/search?tab=default_tab&amp;search_scope=EVERYTHING&amp;vid=01CRU&amp;lang=en_US&amp;offset=0&amp;query=any,contains,991000499149702656","Catalog Record")</f>
        <v/>
      </c>
      <c r="AT571">
        <f>HYPERLINK("http://www.worldcat.org/oclc/3845104","WorldCat Record")</f>
        <v/>
      </c>
    </row>
    <row r="572">
      <c r="A572" t="inlineStr">
        <is>
          <t>No</t>
        </is>
      </c>
      <c r="B572" t="inlineStr">
        <is>
          <t>QV600 C335 2001</t>
        </is>
      </c>
      <c r="C572" t="inlineStr">
        <is>
          <t>0                      QV 0600000C  335         2001</t>
        </is>
      </c>
      <c r="D572" t="inlineStr">
        <is>
          <t>Casarett and Doull's toxicology : the basic science of poisons / editor, Curtis D. Klaassen.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Yes</t>
        </is>
      </c>
      <c r="J572" t="inlineStr">
        <is>
          <t>3</t>
        </is>
      </c>
      <c r="L572" t="inlineStr">
        <is>
          <t>New York : McGraw-Hill Medical Pub. Division, c2001.</t>
        </is>
      </c>
      <c r="M572" t="inlineStr">
        <is>
          <t>2001</t>
        </is>
      </c>
      <c r="N572" t="inlineStr">
        <is>
          <t>6th ed.</t>
        </is>
      </c>
      <c r="O572" t="inlineStr">
        <is>
          <t>eng</t>
        </is>
      </c>
      <c r="P572" t="inlineStr">
        <is>
          <t>nyu</t>
        </is>
      </c>
      <c r="R572" t="inlineStr">
        <is>
          <t xml:space="preserve">QV </t>
        </is>
      </c>
      <c r="S572" t="n">
        <v>3</v>
      </c>
      <c r="T572" t="n">
        <v>3</v>
      </c>
      <c r="U572" t="inlineStr">
        <is>
          <t>2006-11-08</t>
        </is>
      </c>
      <c r="V572" t="inlineStr">
        <is>
          <t>2006-11-08</t>
        </is>
      </c>
      <c r="W572" t="inlineStr">
        <is>
          <t>2001-12-19</t>
        </is>
      </c>
      <c r="X572" t="inlineStr">
        <is>
          <t>2001-12-19</t>
        </is>
      </c>
      <c r="Y572" t="n">
        <v>635</v>
      </c>
      <c r="Z572" t="n">
        <v>484</v>
      </c>
      <c r="AA572" t="n">
        <v>1737</v>
      </c>
      <c r="AB572" t="n">
        <v>2</v>
      </c>
      <c r="AC572" t="n">
        <v>18</v>
      </c>
      <c r="AD572" t="n">
        <v>14</v>
      </c>
      <c r="AE572" t="n">
        <v>46</v>
      </c>
      <c r="AF572" t="n">
        <v>6</v>
      </c>
      <c r="AG572" t="n">
        <v>19</v>
      </c>
      <c r="AH572" t="n">
        <v>3</v>
      </c>
      <c r="AI572" t="n">
        <v>8</v>
      </c>
      <c r="AJ572" t="n">
        <v>6</v>
      </c>
      <c r="AK572" t="n">
        <v>18</v>
      </c>
      <c r="AL572" t="n">
        <v>1</v>
      </c>
      <c r="AM572" t="n">
        <v>11</v>
      </c>
      <c r="AN572" t="n">
        <v>0</v>
      </c>
      <c r="AO572" t="n">
        <v>0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HYPERLINK("http://catalog.hathitrust.org/Record/004179502","HathiTrust Record")</f>
        <v/>
      </c>
      <c r="AS572">
        <f>HYPERLINK("https://creighton-primo.hosted.exlibrisgroup.com/primo-explore/search?tab=default_tab&amp;search_scope=EVERYTHING&amp;vid=01CRU&amp;lang=en_US&amp;offset=0&amp;query=any,contains,991000298519702656","Catalog Record")</f>
        <v/>
      </c>
      <c r="AT572">
        <f>HYPERLINK("http://www.worldcat.org/oclc/47965382","WorldCat Record")</f>
        <v/>
      </c>
    </row>
    <row r="573">
      <c r="A573" t="inlineStr">
        <is>
          <t>No</t>
        </is>
      </c>
      <c r="B573" t="inlineStr">
        <is>
          <t>QV 600 C639 1983</t>
        </is>
      </c>
      <c r="C573" t="inlineStr">
        <is>
          <t>0                      QV 0600000C  639         1983</t>
        </is>
      </c>
      <c r="D573" t="inlineStr">
        <is>
          <t>Clinical management of poisoning and drug overdose / [editors] Lester M. Haddad, James Winchester.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Philadelphia : Saunders, c1983.</t>
        </is>
      </c>
      <c r="M573" t="inlineStr">
        <is>
          <t>1983</t>
        </is>
      </c>
      <c r="O573" t="inlineStr">
        <is>
          <t>eng</t>
        </is>
      </c>
      <c r="P573" t="inlineStr">
        <is>
          <t>xxu</t>
        </is>
      </c>
      <c r="R573" t="inlineStr">
        <is>
          <t xml:space="preserve">QV </t>
        </is>
      </c>
      <c r="S573" t="n">
        <v>36</v>
      </c>
      <c r="T573" t="n">
        <v>36</v>
      </c>
      <c r="U573" t="inlineStr">
        <is>
          <t>1996-10-09</t>
        </is>
      </c>
      <c r="V573" t="inlineStr">
        <is>
          <t>1996-10-09</t>
        </is>
      </c>
      <c r="W573" t="inlineStr">
        <is>
          <t>1988-03-30</t>
        </is>
      </c>
      <c r="X573" t="inlineStr">
        <is>
          <t>1988-03-30</t>
        </is>
      </c>
      <c r="Y573" t="n">
        <v>237</v>
      </c>
      <c r="Z573" t="n">
        <v>195</v>
      </c>
      <c r="AA573" t="n">
        <v>582</v>
      </c>
      <c r="AB573" t="n">
        <v>2</v>
      </c>
      <c r="AC573" t="n">
        <v>4</v>
      </c>
      <c r="AD573" t="n">
        <v>2</v>
      </c>
      <c r="AE573" t="n">
        <v>16</v>
      </c>
      <c r="AF573" t="n">
        <v>0</v>
      </c>
      <c r="AG573" t="n">
        <v>6</v>
      </c>
      <c r="AH573" t="n">
        <v>0</v>
      </c>
      <c r="AI573" t="n">
        <v>4</v>
      </c>
      <c r="AJ573" t="n">
        <v>0</v>
      </c>
      <c r="AK573" t="n">
        <v>6</v>
      </c>
      <c r="AL573" t="n">
        <v>1</v>
      </c>
      <c r="AM573" t="n">
        <v>2</v>
      </c>
      <c r="AN573" t="n">
        <v>1</v>
      </c>
      <c r="AO573" t="n">
        <v>1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HYPERLINK("http://catalog.hathitrust.org/Record/000279432","HathiTrust Record")</f>
        <v/>
      </c>
      <c r="AS573">
        <f>HYPERLINK("https://creighton-primo.hosted.exlibrisgroup.com/primo-explore/search?tab=default_tab&amp;search_scope=EVERYTHING&amp;vid=01CRU&amp;lang=en_US&amp;offset=0&amp;query=any,contains,991000962929702656","Catalog Record")</f>
        <v/>
      </c>
      <c r="AT573">
        <f>HYPERLINK("http://www.worldcat.org/oclc/8284278","WorldCat Record")</f>
        <v/>
      </c>
    </row>
    <row r="574">
      <c r="A574" t="inlineStr">
        <is>
          <t>No</t>
        </is>
      </c>
      <c r="B574" t="inlineStr">
        <is>
          <t>QV 600 C641 1976</t>
        </is>
      </c>
      <c r="C574" t="inlineStr">
        <is>
          <t>0                      QV 0600000C  641         1976</t>
        </is>
      </c>
      <c r="D574" t="inlineStr">
        <is>
          <t>Clinical toxicology of commercial products : acute poisoning / Robert E. Gosselin ... [et al.].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Yes</t>
        </is>
      </c>
      <c r="J574" t="inlineStr">
        <is>
          <t>0</t>
        </is>
      </c>
      <c r="L574" t="inlineStr">
        <is>
          <t>Baltimore : Williams &amp; Wilkins, 1976.</t>
        </is>
      </c>
      <c r="M574" t="inlineStr">
        <is>
          <t>1976</t>
        </is>
      </c>
      <c r="N574" t="inlineStr">
        <is>
          <t>4th ed.</t>
        </is>
      </c>
      <c r="O574" t="inlineStr">
        <is>
          <t>eng</t>
        </is>
      </c>
      <c r="P574" t="inlineStr">
        <is>
          <t>mdu</t>
        </is>
      </c>
      <c r="R574" t="inlineStr">
        <is>
          <t xml:space="preserve">QV </t>
        </is>
      </c>
      <c r="S574" t="n">
        <v>6</v>
      </c>
      <c r="T574" t="n">
        <v>6</v>
      </c>
      <c r="U574" t="inlineStr">
        <is>
          <t>2000-01-20</t>
        </is>
      </c>
      <c r="V574" t="inlineStr">
        <is>
          <t>2000-01-20</t>
        </is>
      </c>
      <c r="W574" t="inlineStr">
        <is>
          <t>1987-12-04</t>
        </is>
      </c>
      <c r="X574" t="inlineStr">
        <is>
          <t>1987-12-04</t>
        </is>
      </c>
      <c r="Y574" t="n">
        <v>395</v>
      </c>
      <c r="Z574" t="n">
        <v>319</v>
      </c>
      <c r="AA574" t="n">
        <v>805</v>
      </c>
      <c r="AB574" t="n">
        <v>1</v>
      </c>
      <c r="AC574" t="n">
        <v>4</v>
      </c>
      <c r="AD574" t="n">
        <v>4</v>
      </c>
      <c r="AE574" t="n">
        <v>10</v>
      </c>
      <c r="AF574" t="n">
        <v>1</v>
      </c>
      <c r="AG574" t="n">
        <v>2</v>
      </c>
      <c r="AH574" t="n">
        <v>3</v>
      </c>
      <c r="AI574" t="n">
        <v>5</v>
      </c>
      <c r="AJ574" t="n">
        <v>3</v>
      </c>
      <c r="AK574" t="n">
        <v>4</v>
      </c>
      <c r="AL574" t="n">
        <v>0</v>
      </c>
      <c r="AM574" t="n">
        <v>2</v>
      </c>
      <c r="AN574" t="n">
        <v>0</v>
      </c>
      <c r="AO574" t="n">
        <v>1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HYPERLINK("http://catalog.hathitrust.org/Record/000039960","HathiTrust Record")</f>
        <v/>
      </c>
      <c r="AS574">
        <f>HYPERLINK("https://creighton-primo.hosted.exlibrisgroup.com/primo-explore/search?tab=default_tab&amp;search_scope=EVERYTHING&amp;vid=01CRU&amp;lang=en_US&amp;offset=0&amp;query=any,contains,991001281629702656","Catalog Record")</f>
        <v/>
      </c>
      <c r="AT574">
        <f>HYPERLINK("http://www.worldcat.org/oclc/1341470","WorldCat Record")</f>
        <v/>
      </c>
    </row>
    <row r="575">
      <c r="A575" t="inlineStr">
        <is>
          <t>No</t>
        </is>
      </c>
      <c r="B575" t="inlineStr">
        <is>
          <t>QV 600 C6415 1982</t>
        </is>
      </c>
      <c r="C575" t="inlineStr">
        <is>
          <t>0                      QV 0600000C  6415        1982</t>
        </is>
      </c>
      <c r="D575" t="inlineStr">
        <is>
          <t>Clinical toxicology of drugs : principles and practice / [edited by] Vasilios A. Skoutakis.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Philadelphia : Lea &amp; Febiger, c1982.</t>
        </is>
      </c>
      <c r="M575" t="inlineStr">
        <is>
          <t>1982</t>
        </is>
      </c>
      <c r="O575" t="inlineStr">
        <is>
          <t>eng</t>
        </is>
      </c>
      <c r="P575" t="inlineStr">
        <is>
          <t>xxu</t>
        </is>
      </c>
      <c r="R575" t="inlineStr">
        <is>
          <t xml:space="preserve">QV </t>
        </is>
      </c>
      <c r="S575" t="n">
        <v>13</v>
      </c>
      <c r="T575" t="n">
        <v>13</v>
      </c>
      <c r="U575" t="inlineStr">
        <is>
          <t>2001-10-18</t>
        </is>
      </c>
      <c r="V575" t="inlineStr">
        <is>
          <t>2001-10-18</t>
        </is>
      </c>
      <c r="W575" t="inlineStr">
        <is>
          <t>1988-02-09</t>
        </is>
      </c>
      <c r="X575" t="inlineStr">
        <is>
          <t>1988-02-09</t>
        </is>
      </c>
      <c r="Y575" t="n">
        <v>209</v>
      </c>
      <c r="Z575" t="n">
        <v>163</v>
      </c>
      <c r="AA575" t="n">
        <v>166</v>
      </c>
      <c r="AB575" t="n">
        <v>2</v>
      </c>
      <c r="AC575" t="n">
        <v>2</v>
      </c>
      <c r="AD575" t="n">
        <v>4</v>
      </c>
      <c r="AE575" t="n">
        <v>4</v>
      </c>
      <c r="AF575" t="n">
        <v>2</v>
      </c>
      <c r="AG575" t="n">
        <v>2</v>
      </c>
      <c r="AH575" t="n">
        <v>1</v>
      </c>
      <c r="AI575" t="n">
        <v>1</v>
      </c>
      <c r="AJ575" t="n">
        <v>1</v>
      </c>
      <c r="AK575" t="n">
        <v>1</v>
      </c>
      <c r="AL575" t="n">
        <v>1</v>
      </c>
      <c r="AM575" t="n">
        <v>1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HYPERLINK("http://catalog.hathitrust.org/Record/000148178","HathiTrust Record")</f>
        <v/>
      </c>
      <c r="AS575">
        <f>HYPERLINK("https://creighton-primo.hosted.exlibrisgroup.com/primo-explore/search?tab=default_tab&amp;search_scope=EVERYTHING&amp;vid=01CRU&amp;lang=en_US&amp;offset=0&amp;query=any,contains,991001006529702656","Catalog Record")</f>
        <v/>
      </c>
      <c r="AT575">
        <f>HYPERLINK("http://www.worldcat.org/oclc/8111248","WorldCat Record")</f>
        <v/>
      </c>
    </row>
    <row r="576">
      <c r="A576" t="inlineStr">
        <is>
          <t>No</t>
        </is>
      </c>
      <c r="B576" t="inlineStr">
        <is>
          <t>QV 600 D771h 1983 c.2</t>
        </is>
      </c>
      <c r="C576" t="inlineStr">
        <is>
          <t>0                      QV 0600000D  771h        1983                                        c.2</t>
        </is>
      </c>
      <c r="D576" t="inlineStr">
        <is>
          <t>Handbook of poisoning : prevention, diagnosis, &amp; treatment / Robert H. Dreisbach.</t>
        </is>
      </c>
      <c r="E576" t="inlineStr">
        <is>
          <t>c.2*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Yes</t>
        </is>
      </c>
      <c r="J576" t="inlineStr">
        <is>
          <t>0</t>
        </is>
      </c>
      <c r="K576" t="inlineStr">
        <is>
          <t>Dreisbach, Robert H. (Robert Hastings), 1916-</t>
        </is>
      </c>
      <c r="L576" t="inlineStr">
        <is>
          <t>Los Altos, Calif. : Lange Medical Publications, c1983.</t>
        </is>
      </c>
      <c r="M576" t="inlineStr">
        <is>
          <t>1983</t>
        </is>
      </c>
      <c r="N576" t="inlineStr">
        <is>
          <t>11th ed.</t>
        </is>
      </c>
      <c r="O576" t="inlineStr">
        <is>
          <t>eng</t>
        </is>
      </c>
      <c r="P576" t="inlineStr">
        <is>
          <t>xxu</t>
        </is>
      </c>
      <c r="Q576" t="inlineStr">
        <is>
          <t>Concise medical library for practitioner and student</t>
        </is>
      </c>
      <c r="R576" t="inlineStr">
        <is>
          <t xml:space="preserve">QV </t>
        </is>
      </c>
      <c r="S576" t="n">
        <v>30</v>
      </c>
      <c r="T576" t="n">
        <v>30</v>
      </c>
      <c r="U576" t="inlineStr">
        <is>
          <t>1997-08-30</t>
        </is>
      </c>
      <c r="V576" t="inlineStr">
        <is>
          <t>1997-08-30</t>
        </is>
      </c>
      <c r="W576" t="inlineStr">
        <is>
          <t>1988-02-09</t>
        </is>
      </c>
      <c r="X576" t="inlineStr">
        <is>
          <t>1988-02-09</t>
        </is>
      </c>
      <c r="Y576" t="n">
        <v>412</v>
      </c>
      <c r="Z576" t="n">
        <v>339</v>
      </c>
      <c r="AA576" t="n">
        <v>1136</v>
      </c>
      <c r="AB576" t="n">
        <v>2</v>
      </c>
      <c r="AC576" t="n">
        <v>7</v>
      </c>
      <c r="AD576" t="n">
        <v>4</v>
      </c>
      <c r="AE576" t="n">
        <v>15</v>
      </c>
      <c r="AF576" t="n">
        <v>1</v>
      </c>
      <c r="AG576" t="n">
        <v>5</v>
      </c>
      <c r="AH576" t="n">
        <v>1</v>
      </c>
      <c r="AI576" t="n">
        <v>4</v>
      </c>
      <c r="AJ576" t="n">
        <v>2</v>
      </c>
      <c r="AK576" t="n">
        <v>7</v>
      </c>
      <c r="AL576" t="n">
        <v>1</v>
      </c>
      <c r="AM576" t="n">
        <v>3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HYPERLINK("http://catalog.hathitrust.org/Record/000152223","HathiTrust Record")</f>
        <v/>
      </c>
      <c r="AS576">
        <f>HYPERLINK("https://creighton-primo.hosted.exlibrisgroup.com/primo-explore/search?tab=default_tab&amp;search_scope=EVERYTHING&amp;vid=01CRU&amp;lang=en_US&amp;offset=0&amp;query=any,contains,991000748129702656","Catalog Record")</f>
        <v/>
      </c>
      <c r="AT576">
        <f>HYPERLINK("http://www.worldcat.org/oclc/9683943","WorldCat Record")</f>
        <v/>
      </c>
    </row>
    <row r="577">
      <c r="A577" t="inlineStr">
        <is>
          <t>No</t>
        </is>
      </c>
      <c r="B577" t="inlineStr">
        <is>
          <t>QV600 G618 2002</t>
        </is>
      </c>
      <c r="C577" t="inlineStr">
        <is>
          <t>0                      QV 0600000G  618         2002</t>
        </is>
      </c>
      <c r="D577" t="inlineStr">
        <is>
          <t>Goldfrank's toxicologic emergencies / [edited by] Lewis R. Goldfrank ... [et al.] ; with 116 contributors.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Yes</t>
        </is>
      </c>
      <c r="J577" t="inlineStr">
        <is>
          <t>1</t>
        </is>
      </c>
      <c r="L577" t="inlineStr">
        <is>
          <t>New York : McGraw-Hill Medical Pub. Division, c2002.</t>
        </is>
      </c>
      <c r="M577" t="inlineStr">
        <is>
          <t>2002</t>
        </is>
      </c>
      <c r="N577" t="inlineStr">
        <is>
          <t>7th ed.</t>
        </is>
      </c>
      <c r="O577" t="inlineStr">
        <is>
          <t>eng</t>
        </is>
      </c>
      <c r="P577" t="inlineStr">
        <is>
          <t>nyu</t>
        </is>
      </c>
      <c r="R577" t="inlineStr">
        <is>
          <t xml:space="preserve">QV </t>
        </is>
      </c>
      <c r="S577" t="n">
        <v>5</v>
      </c>
      <c r="T577" t="n">
        <v>5</v>
      </c>
      <c r="U577" t="inlineStr">
        <is>
          <t>2005-07-28</t>
        </is>
      </c>
      <c r="V577" t="inlineStr">
        <is>
          <t>2005-07-28</t>
        </is>
      </c>
      <c r="W577" t="inlineStr">
        <is>
          <t>2002-12-19</t>
        </is>
      </c>
      <c r="X577" t="inlineStr">
        <is>
          <t>2002-12-19</t>
        </is>
      </c>
      <c r="Y577" t="n">
        <v>290</v>
      </c>
      <c r="Z577" t="n">
        <v>235</v>
      </c>
      <c r="AA577" t="n">
        <v>809</v>
      </c>
      <c r="AB577" t="n">
        <v>1</v>
      </c>
      <c r="AC577" t="n">
        <v>4</v>
      </c>
      <c r="AD577" t="n">
        <v>7</v>
      </c>
      <c r="AE577" t="n">
        <v>19</v>
      </c>
      <c r="AF577" t="n">
        <v>3</v>
      </c>
      <c r="AG577" t="n">
        <v>8</v>
      </c>
      <c r="AH577" t="n">
        <v>2</v>
      </c>
      <c r="AI577" t="n">
        <v>4</v>
      </c>
      <c r="AJ577" t="n">
        <v>2</v>
      </c>
      <c r="AK577" t="n">
        <v>7</v>
      </c>
      <c r="AL577" t="n">
        <v>0</v>
      </c>
      <c r="AM577" t="n">
        <v>2</v>
      </c>
      <c r="AN577" t="n">
        <v>0</v>
      </c>
      <c r="AO577" t="n">
        <v>1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HYPERLINK("http://catalog.hathitrust.org/Record/004250759","HathiTrust Record")</f>
        <v/>
      </c>
      <c r="AS577">
        <f>HYPERLINK("https://creighton-primo.hosted.exlibrisgroup.com/primo-explore/search?tab=default_tab&amp;search_scope=EVERYTHING&amp;vid=01CRU&amp;lang=en_US&amp;offset=0&amp;query=any,contains,991000333899702656","Catalog Record")</f>
        <v/>
      </c>
      <c r="AT577">
        <f>HYPERLINK("http://www.worldcat.org/oclc/48177200","WorldCat Record")</f>
        <v/>
      </c>
    </row>
    <row r="578">
      <c r="A578" t="inlineStr">
        <is>
          <t>No</t>
        </is>
      </c>
      <c r="B578" t="inlineStr">
        <is>
          <t>QV600 G6785p 1994</t>
        </is>
      </c>
      <c r="C578" t="inlineStr">
        <is>
          <t>0                      QV 0600000G  6785p       1994</t>
        </is>
      </c>
      <c r="D578" t="inlineStr">
        <is>
          <t>Principles of clinical toxicology / Thomas A. Gossel, J. Douglas Bricker.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Gossel, Thomas A.</t>
        </is>
      </c>
      <c r="L578" t="inlineStr">
        <is>
          <t>New York : Raven Press, c1994.</t>
        </is>
      </c>
      <c r="M578" t="inlineStr">
        <is>
          <t>1994</t>
        </is>
      </c>
      <c r="N578" t="inlineStr">
        <is>
          <t>3rd ed.</t>
        </is>
      </c>
      <c r="O578" t="inlineStr">
        <is>
          <t>eng</t>
        </is>
      </c>
      <c r="P578" t="inlineStr">
        <is>
          <t>nyu</t>
        </is>
      </c>
      <c r="R578" t="inlineStr">
        <is>
          <t xml:space="preserve">QV </t>
        </is>
      </c>
      <c r="S578" t="n">
        <v>1</v>
      </c>
      <c r="T578" t="n">
        <v>1</v>
      </c>
      <c r="U578" t="inlineStr">
        <is>
          <t>2010-10-06</t>
        </is>
      </c>
      <c r="V578" t="inlineStr">
        <is>
          <t>2010-10-06</t>
        </is>
      </c>
      <c r="W578" t="inlineStr">
        <is>
          <t>2002-07-02</t>
        </is>
      </c>
      <c r="X578" t="inlineStr">
        <is>
          <t>2002-07-02</t>
        </is>
      </c>
      <c r="Y578" t="n">
        <v>192</v>
      </c>
      <c r="Z578" t="n">
        <v>128</v>
      </c>
      <c r="AA578" t="n">
        <v>257</v>
      </c>
      <c r="AB578" t="n">
        <v>1</v>
      </c>
      <c r="AC578" t="n">
        <v>1</v>
      </c>
      <c r="AD578" t="n">
        <v>3</v>
      </c>
      <c r="AE578" t="n">
        <v>7</v>
      </c>
      <c r="AF578" t="n">
        <v>2</v>
      </c>
      <c r="AG578" t="n">
        <v>4</v>
      </c>
      <c r="AH578" t="n">
        <v>1</v>
      </c>
      <c r="AI578" t="n">
        <v>3</v>
      </c>
      <c r="AJ578" t="n">
        <v>0</v>
      </c>
      <c r="AK578" t="n">
        <v>1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HYPERLINK("https://creighton-primo.hosted.exlibrisgroup.com/primo-explore/search?tab=default_tab&amp;search_scope=EVERYTHING&amp;vid=01CRU&amp;lang=en_US&amp;offset=0&amp;query=any,contains,991000320899702656","Catalog Record")</f>
        <v/>
      </c>
      <c r="AT578">
        <f>HYPERLINK("http://www.worldcat.org/oclc/28965101","WorldCat Record")</f>
        <v/>
      </c>
    </row>
    <row r="579">
      <c r="A579" t="inlineStr">
        <is>
          <t>No</t>
        </is>
      </c>
      <c r="B579" t="inlineStr">
        <is>
          <t>QV 600 I61n 1998</t>
        </is>
      </c>
      <c r="C579" t="inlineStr">
        <is>
          <t>0                      QV 0600000I  61n         1998</t>
        </is>
      </c>
      <c r="D579" t="inlineStr">
        <is>
          <t>Natural antioxidants and anticarcinogens in nutrition, health and disease / edited by J.T. Kumpulainen, J.T. Salonen.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International Conference on Natural Antioxidants and Anticarcinogens in Nutrition, Health and Disease (2nd : 1998 : Helsinki, Finland)</t>
        </is>
      </c>
      <c r="L579" t="inlineStr">
        <is>
          <t>Cambridge : Royal Society of Chemistry, c1999.</t>
        </is>
      </c>
      <c r="M579" t="inlineStr">
        <is>
          <t>1999</t>
        </is>
      </c>
      <c r="O579" t="inlineStr">
        <is>
          <t>eng</t>
        </is>
      </c>
      <c r="P579" t="inlineStr">
        <is>
          <t>enk</t>
        </is>
      </c>
      <c r="Q579" t="inlineStr">
        <is>
          <t>Special publication ; no. 240</t>
        </is>
      </c>
      <c r="R579" t="inlineStr">
        <is>
          <t xml:space="preserve">QV </t>
        </is>
      </c>
      <c r="S579" t="n">
        <v>5</v>
      </c>
      <c r="T579" t="n">
        <v>5</v>
      </c>
      <c r="U579" t="inlineStr">
        <is>
          <t>2001-03-06</t>
        </is>
      </c>
      <c r="V579" t="inlineStr">
        <is>
          <t>2001-03-06</t>
        </is>
      </c>
      <c r="W579" t="inlineStr">
        <is>
          <t>1999-09-30</t>
        </is>
      </c>
      <c r="X579" t="inlineStr">
        <is>
          <t>1999-09-30</t>
        </is>
      </c>
      <c r="Y579" t="n">
        <v>164</v>
      </c>
      <c r="Z579" t="n">
        <v>97</v>
      </c>
      <c r="AA579" t="n">
        <v>148</v>
      </c>
      <c r="AB579" t="n">
        <v>1</v>
      </c>
      <c r="AC579" t="n">
        <v>1</v>
      </c>
      <c r="AD579" t="n">
        <v>1</v>
      </c>
      <c r="AE579" t="n">
        <v>3</v>
      </c>
      <c r="AF579" t="n">
        <v>0</v>
      </c>
      <c r="AG579" t="n">
        <v>1</v>
      </c>
      <c r="AH579" t="n">
        <v>1</v>
      </c>
      <c r="AI579" t="n">
        <v>2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HYPERLINK("https://creighton-primo.hosted.exlibrisgroup.com/primo-explore/search?tab=default_tab&amp;search_scope=EVERYTHING&amp;vid=01CRU&amp;lang=en_US&amp;offset=0&amp;query=any,contains,991001565289702656","Catalog Record")</f>
        <v/>
      </c>
      <c r="AT579">
        <f>HYPERLINK("http://www.worldcat.org/oclc/47013533","WorldCat Record")</f>
        <v/>
      </c>
    </row>
    <row r="580">
      <c r="A580" t="inlineStr">
        <is>
          <t>No</t>
        </is>
      </c>
      <c r="B580" t="inlineStr">
        <is>
          <t>QV 600 L863e 1978</t>
        </is>
      </c>
      <c r="C580" t="inlineStr">
        <is>
          <t>0                      QV 0600000L  863e        1978</t>
        </is>
      </c>
      <c r="D580" t="inlineStr">
        <is>
          <t>Essentials of toxicology / Ted A. Loomis.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Loomis, Ted A.</t>
        </is>
      </c>
      <c r="L580" t="inlineStr">
        <is>
          <t>Philadelphia : Lea &amp; Febiger, 1978.</t>
        </is>
      </c>
      <c r="M580" t="inlineStr">
        <is>
          <t>1978</t>
        </is>
      </c>
      <c r="N580" t="inlineStr">
        <is>
          <t>-- 3d ed. --</t>
        </is>
      </c>
      <c r="O580" t="inlineStr">
        <is>
          <t>eng</t>
        </is>
      </c>
      <c r="P580" t="inlineStr">
        <is>
          <t>pau</t>
        </is>
      </c>
      <c r="R580" t="inlineStr">
        <is>
          <t xml:space="preserve">QV </t>
        </is>
      </c>
      <c r="S580" t="n">
        <v>7</v>
      </c>
      <c r="T580" t="n">
        <v>7</v>
      </c>
      <c r="U580" t="inlineStr">
        <is>
          <t>1995-01-25</t>
        </is>
      </c>
      <c r="V580" t="inlineStr">
        <is>
          <t>1995-01-25</t>
        </is>
      </c>
      <c r="W580" t="inlineStr">
        <is>
          <t>1988-12-30</t>
        </is>
      </c>
      <c r="X580" t="inlineStr">
        <is>
          <t>1988-12-30</t>
        </is>
      </c>
      <c r="Y580" t="n">
        <v>375</v>
      </c>
      <c r="Z580" t="n">
        <v>299</v>
      </c>
      <c r="AA580" t="n">
        <v>437</v>
      </c>
      <c r="AB580" t="n">
        <v>1</v>
      </c>
      <c r="AC580" t="n">
        <v>1</v>
      </c>
      <c r="AD580" t="n">
        <v>8</v>
      </c>
      <c r="AE580" t="n">
        <v>9</v>
      </c>
      <c r="AF580" t="n">
        <v>1</v>
      </c>
      <c r="AG580" t="n">
        <v>1</v>
      </c>
      <c r="AH580" t="n">
        <v>4</v>
      </c>
      <c r="AI580" t="n">
        <v>4</v>
      </c>
      <c r="AJ580" t="n">
        <v>5</v>
      </c>
      <c r="AK580" t="n">
        <v>6</v>
      </c>
      <c r="AL580" t="n">
        <v>0</v>
      </c>
      <c r="AM580" t="n">
        <v>0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HYPERLINK("http://catalog.hathitrust.org/Record/000137169","HathiTrust Record")</f>
        <v/>
      </c>
      <c r="AS580">
        <f>HYPERLINK("https://creighton-primo.hosted.exlibrisgroup.com/primo-explore/search?tab=default_tab&amp;search_scope=EVERYTHING&amp;vid=01CRU&amp;lang=en_US&amp;offset=0&amp;query=any,contains,991000962759702656","Catalog Record")</f>
        <v/>
      </c>
      <c r="AT580">
        <f>HYPERLINK("http://www.worldcat.org/oclc/3892709","WorldCat Record")</f>
        <v/>
      </c>
    </row>
    <row r="581">
      <c r="A581" t="inlineStr">
        <is>
          <t>No</t>
        </is>
      </c>
      <c r="B581" t="inlineStr">
        <is>
          <t>QV 600 M437t 1975</t>
        </is>
      </c>
      <c r="C581" t="inlineStr">
        <is>
          <t>0                      QV 0600000M  437t        1975</t>
        </is>
      </c>
      <c r="D581" t="inlineStr">
        <is>
          <t>Treatment of common acute poisonings / Henry Matthew, Alexander A.H. Lawson ; foreword by Sir Derrick Dunlop.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Matthew, Henry.</t>
        </is>
      </c>
      <c r="L581" t="inlineStr">
        <is>
          <t>Edinburgh ; New York : Churchill Livingstone ; New York : distributed by Longman, 1975.</t>
        </is>
      </c>
      <c r="M581" t="inlineStr">
        <is>
          <t>1975</t>
        </is>
      </c>
      <c r="N581" t="inlineStr">
        <is>
          <t>3rd ed.</t>
        </is>
      </c>
      <c r="O581" t="inlineStr">
        <is>
          <t>eng</t>
        </is>
      </c>
      <c r="P581" t="inlineStr">
        <is>
          <t>stk</t>
        </is>
      </c>
      <c r="R581" t="inlineStr">
        <is>
          <t xml:space="preserve">QV </t>
        </is>
      </c>
      <c r="S581" t="n">
        <v>3</v>
      </c>
      <c r="T581" t="n">
        <v>3</v>
      </c>
      <c r="U581" t="inlineStr">
        <is>
          <t>1996-10-15</t>
        </is>
      </c>
      <c r="V581" t="inlineStr">
        <is>
          <t>1996-10-15</t>
        </is>
      </c>
      <c r="W581" t="inlineStr">
        <is>
          <t>1988-08-23</t>
        </is>
      </c>
      <c r="X581" t="inlineStr">
        <is>
          <t>1988-08-23</t>
        </is>
      </c>
      <c r="Y581" t="n">
        <v>129</v>
      </c>
      <c r="Z581" t="n">
        <v>75</v>
      </c>
      <c r="AA581" t="n">
        <v>157</v>
      </c>
      <c r="AB581" t="n">
        <v>2</v>
      </c>
      <c r="AC581" t="n">
        <v>2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1</v>
      </c>
      <c r="AM581" t="n">
        <v>1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HYPERLINK("http://catalog.hathitrust.org/Record/000039152","HathiTrust Record")</f>
        <v/>
      </c>
      <c r="AS581">
        <f>HYPERLINK("https://creighton-primo.hosted.exlibrisgroup.com/primo-explore/search?tab=default_tab&amp;search_scope=EVERYTHING&amp;vid=01CRU&amp;lang=en_US&amp;offset=0&amp;query=any,contains,991000962819702656","Catalog Record")</f>
        <v/>
      </c>
      <c r="AT581">
        <f>HYPERLINK("http://www.worldcat.org/oclc/1157661","WorldCat Record")</f>
        <v/>
      </c>
    </row>
    <row r="582">
      <c r="A582" t="inlineStr">
        <is>
          <t>No</t>
        </is>
      </c>
      <c r="B582" t="inlineStr">
        <is>
          <t>QV600 M489 1997</t>
        </is>
      </c>
      <c r="C582" t="inlineStr">
        <is>
          <t>0                      QV 0600000M  489         1997</t>
        </is>
      </c>
      <c r="D582" t="inlineStr">
        <is>
          <t>Ellenhorn's medical toxicology : diagnosis and treatment of human poisoning / Matthew J. Ellenhorn ... [et al.]. ; technical associate, Sylvia Syma Ellenhorn.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Baltimore : Williams &amp; Wilkins, c1997.</t>
        </is>
      </c>
      <c r="M582" t="inlineStr">
        <is>
          <t>1997</t>
        </is>
      </c>
      <c r="N582" t="inlineStr">
        <is>
          <t>2nd ed.</t>
        </is>
      </c>
      <c r="O582" t="inlineStr">
        <is>
          <t>eng</t>
        </is>
      </c>
      <c r="P582" t="inlineStr">
        <is>
          <t>mdu</t>
        </is>
      </c>
      <c r="R582" t="inlineStr">
        <is>
          <t xml:space="preserve">QV </t>
        </is>
      </c>
      <c r="S582" t="n">
        <v>17</v>
      </c>
      <c r="T582" t="n">
        <v>17</v>
      </c>
      <c r="U582" t="inlineStr">
        <is>
          <t>2009-07-13</t>
        </is>
      </c>
      <c r="V582" t="inlineStr">
        <is>
          <t>2009-07-13</t>
        </is>
      </c>
      <c r="W582" t="inlineStr">
        <is>
          <t>1997-04-14</t>
        </is>
      </c>
      <c r="X582" t="inlineStr">
        <is>
          <t>1997-04-14</t>
        </is>
      </c>
      <c r="Y582" t="n">
        <v>341</v>
      </c>
      <c r="Z582" t="n">
        <v>268</v>
      </c>
      <c r="AA582" t="n">
        <v>274</v>
      </c>
      <c r="AB582" t="n">
        <v>2</v>
      </c>
      <c r="AC582" t="n">
        <v>2</v>
      </c>
      <c r="AD582" t="n">
        <v>4</v>
      </c>
      <c r="AE582" t="n">
        <v>5</v>
      </c>
      <c r="AF582" t="n">
        <v>1</v>
      </c>
      <c r="AG582" t="n">
        <v>1</v>
      </c>
      <c r="AH582" t="n">
        <v>3</v>
      </c>
      <c r="AI582" t="n">
        <v>4</v>
      </c>
      <c r="AJ582" t="n">
        <v>1</v>
      </c>
      <c r="AK582" t="n">
        <v>2</v>
      </c>
      <c r="AL582" t="n">
        <v>0</v>
      </c>
      <c r="AM582" t="n">
        <v>0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HYPERLINK("https://creighton-primo.hosted.exlibrisgroup.com/primo-explore/search?tab=default_tab&amp;search_scope=EVERYTHING&amp;vid=01CRU&amp;lang=en_US&amp;offset=0&amp;query=any,contains,991000838819702656","Catalog Record")</f>
        <v/>
      </c>
      <c r="AT582">
        <f>HYPERLINK("http://www.worldcat.org/oclc/34471102","WorldCat Record")</f>
        <v/>
      </c>
    </row>
    <row r="583">
      <c r="A583" t="inlineStr">
        <is>
          <t>No</t>
        </is>
      </c>
      <c r="B583" t="inlineStr">
        <is>
          <t>QV 600 O33t 1981</t>
        </is>
      </c>
      <c r="C583" t="inlineStr">
        <is>
          <t>0                      QV 0600000O  33t         1981</t>
        </is>
      </c>
      <c r="D583" t="inlineStr">
        <is>
          <t>Toxicants and drugs : kinetics and dynamics / Ellen J. O'Flaherty.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O'Flaherty, Ellen J., 1936-</t>
        </is>
      </c>
      <c r="L583" t="inlineStr">
        <is>
          <t>New York : Wiley, c1981.</t>
        </is>
      </c>
      <c r="M583" t="inlineStr">
        <is>
          <t>1981</t>
        </is>
      </c>
      <c r="O583" t="inlineStr">
        <is>
          <t>eng</t>
        </is>
      </c>
      <c r="P583" t="inlineStr">
        <is>
          <t>xxu</t>
        </is>
      </c>
      <c r="R583" t="inlineStr">
        <is>
          <t xml:space="preserve">QV </t>
        </is>
      </c>
      <c r="S583" t="n">
        <v>3</v>
      </c>
      <c r="T583" t="n">
        <v>3</v>
      </c>
      <c r="U583" t="inlineStr">
        <is>
          <t>2000-03-20</t>
        </is>
      </c>
      <c r="V583" t="inlineStr">
        <is>
          <t>2000-03-20</t>
        </is>
      </c>
      <c r="W583" t="inlineStr">
        <is>
          <t>1988-02-09</t>
        </is>
      </c>
      <c r="X583" t="inlineStr">
        <is>
          <t>1988-02-09</t>
        </is>
      </c>
      <c r="Y583" t="n">
        <v>221</v>
      </c>
      <c r="Z583" t="n">
        <v>177</v>
      </c>
      <c r="AA583" t="n">
        <v>186</v>
      </c>
      <c r="AB583" t="n">
        <v>2</v>
      </c>
      <c r="AC583" t="n">
        <v>2</v>
      </c>
      <c r="AD583" t="n">
        <v>4</v>
      </c>
      <c r="AE583" t="n">
        <v>4</v>
      </c>
      <c r="AF583" t="n">
        <v>3</v>
      </c>
      <c r="AG583" t="n">
        <v>3</v>
      </c>
      <c r="AH583" t="n">
        <v>0</v>
      </c>
      <c r="AI583" t="n">
        <v>0</v>
      </c>
      <c r="AJ583" t="n">
        <v>1</v>
      </c>
      <c r="AK583" t="n">
        <v>1</v>
      </c>
      <c r="AL583" t="n">
        <v>1</v>
      </c>
      <c r="AM583" t="n">
        <v>1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HYPERLINK("http://catalog.hathitrust.org/Record/000101145","HathiTrust Record")</f>
        <v/>
      </c>
      <c r="AS583">
        <f>HYPERLINK("https://creighton-primo.hosted.exlibrisgroup.com/primo-explore/search?tab=default_tab&amp;search_scope=EVERYTHING&amp;vid=01CRU&amp;lang=en_US&amp;offset=0&amp;query=any,contains,991000962709702656","Catalog Record")</f>
        <v/>
      </c>
      <c r="AT583">
        <f>HYPERLINK("http://www.worldcat.org/oclc/6861807","WorldCat Record")</f>
        <v/>
      </c>
    </row>
    <row r="584">
      <c r="A584" t="inlineStr">
        <is>
          <t>No</t>
        </is>
      </c>
      <c r="B584" t="inlineStr">
        <is>
          <t>QV600 O85c 1981</t>
        </is>
      </c>
      <c r="C584" t="inlineStr">
        <is>
          <t>0                      QV 0600000O  85c         1981</t>
        </is>
      </c>
      <c r="D584" t="inlineStr">
        <is>
          <t>Case studies in poisoning : a compilation of 50 clinical studies / Shirley K. Osterhout.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Osterhout, Shirley K.</t>
        </is>
      </c>
      <c r="L584" t="inlineStr">
        <is>
          <t>Garden City, N.Y. : Medical Examination Pub. Co., c1981.</t>
        </is>
      </c>
      <c r="M584" t="inlineStr">
        <is>
          <t>1981</t>
        </is>
      </c>
      <c r="O584" t="inlineStr">
        <is>
          <t>eng</t>
        </is>
      </c>
      <c r="P584" t="inlineStr">
        <is>
          <t>nyu</t>
        </is>
      </c>
      <c r="R584" t="inlineStr">
        <is>
          <t xml:space="preserve">QV </t>
        </is>
      </c>
      <c r="S584" t="n">
        <v>14</v>
      </c>
      <c r="T584" t="n">
        <v>14</v>
      </c>
      <c r="U584" t="inlineStr">
        <is>
          <t>2003-08-27</t>
        </is>
      </c>
      <c r="V584" t="inlineStr">
        <is>
          <t>2003-08-27</t>
        </is>
      </c>
      <c r="W584" t="inlineStr">
        <is>
          <t>1988-12-30</t>
        </is>
      </c>
      <c r="X584" t="inlineStr">
        <is>
          <t>1988-12-30</t>
        </is>
      </c>
      <c r="Y584" t="n">
        <v>35</v>
      </c>
      <c r="Z584" t="n">
        <v>29</v>
      </c>
      <c r="AA584" t="n">
        <v>29</v>
      </c>
      <c r="AB584" t="n">
        <v>1</v>
      </c>
      <c r="AC584" t="n">
        <v>1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0</v>
      </c>
      <c r="AM584" t="n">
        <v>0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HYPERLINK("https://creighton-primo.hosted.exlibrisgroup.com/primo-explore/search?tab=default_tab&amp;search_scope=EVERYTHING&amp;vid=01CRU&amp;lang=en_US&amp;offset=0&amp;query=any,contains,991000962669702656","Catalog Record")</f>
        <v/>
      </c>
      <c r="AT584">
        <f>HYPERLINK("http://www.worldcat.org/oclc/7554508","WorldCat Record")</f>
        <v/>
      </c>
    </row>
    <row r="585">
      <c r="A585" t="inlineStr">
        <is>
          <t>No</t>
        </is>
      </c>
      <c r="B585" t="inlineStr">
        <is>
          <t>QV 600 P754 1983</t>
        </is>
      </c>
      <c r="C585" t="inlineStr">
        <is>
          <t>0                      QV 0600000P  754         1983</t>
        </is>
      </c>
      <c r="D585" t="inlineStr">
        <is>
          <t>Poisoning &amp; overdose / Marc J. Bayer, Barry H. Rumack, editors.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L585" t="inlineStr">
        <is>
          <t>Rockville, Md. : Aspen Systems Corp., c1983.</t>
        </is>
      </c>
      <c r="M585" t="inlineStr">
        <is>
          <t>1983</t>
        </is>
      </c>
      <c r="O585" t="inlineStr">
        <is>
          <t>eng</t>
        </is>
      </c>
      <c r="P585" t="inlineStr">
        <is>
          <t>mdu</t>
        </is>
      </c>
      <c r="R585" t="inlineStr">
        <is>
          <t xml:space="preserve">QV </t>
        </is>
      </c>
      <c r="S585" t="n">
        <v>7</v>
      </c>
      <c r="T585" t="n">
        <v>7</v>
      </c>
      <c r="U585" t="inlineStr">
        <is>
          <t>1996-11-21</t>
        </is>
      </c>
      <c r="V585" t="inlineStr">
        <is>
          <t>1996-11-21</t>
        </is>
      </c>
      <c r="W585" t="inlineStr">
        <is>
          <t>1988-02-09</t>
        </is>
      </c>
      <c r="X585" t="inlineStr">
        <is>
          <t>1988-02-09</t>
        </is>
      </c>
      <c r="Y585" t="n">
        <v>180</v>
      </c>
      <c r="Z585" t="n">
        <v>162</v>
      </c>
      <c r="AA585" t="n">
        <v>167</v>
      </c>
      <c r="AB585" t="n">
        <v>2</v>
      </c>
      <c r="AC585" t="n">
        <v>2</v>
      </c>
      <c r="AD585" t="n">
        <v>3</v>
      </c>
      <c r="AE585" t="n">
        <v>3</v>
      </c>
      <c r="AF585" t="n">
        <v>1</v>
      </c>
      <c r="AG585" t="n">
        <v>1</v>
      </c>
      <c r="AH585" t="n">
        <v>1</v>
      </c>
      <c r="AI585" t="n">
        <v>1</v>
      </c>
      <c r="AJ585" t="n">
        <v>2</v>
      </c>
      <c r="AK585" t="n">
        <v>2</v>
      </c>
      <c r="AL585" t="n">
        <v>1</v>
      </c>
      <c r="AM585" t="n">
        <v>1</v>
      </c>
      <c r="AN585" t="n">
        <v>0</v>
      </c>
      <c r="AO585" t="n">
        <v>0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HYPERLINK("https://creighton-primo.hosted.exlibrisgroup.com/primo-explore/search?tab=default_tab&amp;search_scope=EVERYTHING&amp;vid=01CRU&amp;lang=en_US&amp;offset=0&amp;query=any,contains,991000962639702656","Catalog Record")</f>
        <v/>
      </c>
      <c r="AT585">
        <f>HYPERLINK("http://www.worldcat.org/oclc/8667547","WorldCat Record")</f>
        <v/>
      </c>
    </row>
    <row r="586">
      <c r="A586" t="inlineStr">
        <is>
          <t>No</t>
        </is>
      </c>
      <c r="B586" t="inlineStr">
        <is>
          <t>QV 600 P754 1990</t>
        </is>
      </c>
      <c r="C586" t="inlineStr">
        <is>
          <t>0                      QV 0600000P  754         1990</t>
        </is>
      </c>
      <c r="D586" t="inlineStr">
        <is>
          <t>Poisoning &amp; drug overdose / San Francisco Bay Area Regional Poison Control Center ; edited by Kent R. Olson ... [et al.].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Yes</t>
        </is>
      </c>
      <c r="J586" t="inlineStr">
        <is>
          <t>1</t>
        </is>
      </c>
      <c r="L586" t="inlineStr">
        <is>
          <t>Norwalk, CT : Appleton &amp; Lange, c1990.</t>
        </is>
      </c>
      <c r="M586" t="inlineStr">
        <is>
          <t>1990</t>
        </is>
      </c>
      <c r="O586" t="inlineStr">
        <is>
          <t>eng</t>
        </is>
      </c>
      <c r="P586" t="inlineStr">
        <is>
          <t>ctu</t>
        </is>
      </c>
      <c r="Q586" t="inlineStr">
        <is>
          <t>A Lange clinical manual.</t>
        </is>
      </c>
      <c r="R586" t="inlineStr">
        <is>
          <t xml:space="preserve">QV </t>
        </is>
      </c>
      <c r="S586" t="n">
        <v>14</v>
      </c>
      <c r="T586" t="n">
        <v>14</v>
      </c>
      <c r="U586" t="inlineStr">
        <is>
          <t>1996-10-20</t>
        </is>
      </c>
      <c r="V586" t="inlineStr">
        <is>
          <t>1996-10-20</t>
        </is>
      </c>
      <c r="W586" t="inlineStr">
        <is>
          <t>1990-11-27</t>
        </is>
      </c>
      <c r="X586" t="inlineStr">
        <is>
          <t>1990-11-27</t>
        </is>
      </c>
      <c r="Y586" t="n">
        <v>118</v>
      </c>
      <c r="Z586" t="n">
        <v>97</v>
      </c>
      <c r="AA586" t="n">
        <v>988</v>
      </c>
      <c r="AB586" t="n">
        <v>1</v>
      </c>
      <c r="AC586" t="n">
        <v>9</v>
      </c>
      <c r="AD586" t="n">
        <v>0</v>
      </c>
      <c r="AE586" t="n">
        <v>36</v>
      </c>
      <c r="AF586" t="n">
        <v>0</v>
      </c>
      <c r="AG586" t="n">
        <v>10</v>
      </c>
      <c r="AH586" t="n">
        <v>0</v>
      </c>
      <c r="AI586" t="n">
        <v>7</v>
      </c>
      <c r="AJ586" t="n">
        <v>0</v>
      </c>
      <c r="AK586" t="n">
        <v>12</v>
      </c>
      <c r="AL586" t="n">
        <v>0</v>
      </c>
      <c r="AM586" t="n">
        <v>7</v>
      </c>
      <c r="AN586" t="n">
        <v>0</v>
      </c>
      <c r="AO586" t="n">
        <v>4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HYPERLINK("https://creighton-primo.hosted.exlibrisgroup.com/primo-explore/search?tab=default_tab&amp;search_scope=EVERYTHING&amp;vid=01CRU&amp;lang=en_US&amp;offset=0&amp;query=any,contains,991000781099702656","Catalog Record")</f>
        <v/>
      </c>
      <c r="AT586">
        <f>HYPERLINK("http://www.worldcat.org/oclc/26318597","WorldCat Record")</f>
        <v/>
      </c>
    </row>
    <row r="587">
      <c r="A587" t="inlineStr">
        <is>
          <t>No</t>
        </is>
      </c>
      <c r="B587" t="inlineStr">
        <is>
          <t>QV600 P957 2001</t>
        </is>
      </c>
      <c r="C587" t="inlineStr">
        <is>
          <t>0                      QV 0600000P  957         2001</t>
        </is>
      </c>
      <c r="D587" t="inlineStr">
        <is>
          <t>Principles and methods of toxicology / edited by A. Wallace Hayes.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Philadelphia, PA : Taylor &amp; Francis, c2001.</t>
        </is>
      </c>
      <c r="M587" t="inlineStr">
        <is>
          <t>2001</t>
        </is>
      </c>
      <c r="N587" t="inlineStr">
        <is>
          <t>4th ed.</t>
        </is>
      </c>
      <c r="O587" t="inlineStr">
        <is>
          <t>eng</t>
        </is>
      </c>
      <c r="P587" t="inlineStr">
        <is>
          <t>pau</t>
        </is>
      </c>
      <c r="R587" t="inlineStr">
        <is>
          <t xml:space="preserve">QV </t>
        </is>
      </c>
      <c r="S587" t="n">
        <v>3</v>
      </c>
      <c r="T587" t="n">
        <v>3</v>
      </c>
      <c r="U587" t="inlineStr">
        <is>
          <t>2004-09-24</t>
        </is>
      </c>
      <c r="V587" t="inlineStr">
        <is>
          <t>2004-09-24</t>
        </is>
      </c>
      <c r="W587" t="inlineStr">
        <is>
          <t>2003-04-14</t>
        </is>
      </c>
      <c r="X587" t="inlineStr">
        <is>
          <t>2003-04-14</t>
        </is>
      </c>
      <c r="Y587" t="n">
        <v>242</v>
      </c>
      <c r="Z587" t="n">
        <v>153</v>
      </c>
      <c r="AA587" t="n">
        <v>503</v>
      </c>
      <c r="AB587" t="n">
        <v>1</v>
      </c>
      <c r="AC587" t="n">
        <v>1</v>
      </c>
      <c r="AD587" t="n">
        <v>6</v>
      </c>
      <c r="AE587" t="n">
        <v>14</v>
      </c>
      <c r="AF587" t="n">
        <v>3</v>
      </c>
      <c r="AG587" t="n">
        <v>7</v>
      </c>
      <c r="AH587" t="n">
        <v>3</v>
      </c>
      <c r="AI587" t="n">
        <v>5</v>
      </c>
      <c r="AJ587" t="n">
        <v>1</v>
      </c>
      <c r="AK587" t="n">
        <v>4</v>
      </c>
      <c r="AL587" t="n">
        <v>0</v>
      </c>
      <c r="AM587" t="n">
        <v>0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HYPERLINK("https://creighton-primo.hosted.exlibrisgroup.com/primo-explore/search?tab=default_tab&amp;search_scope=EVERYTHING&amp;vid=01CRU&amp;lang=en_US&amp;offset=0&amp;query=any,contains,991000344709702656","Catalog Record")</f>
        <v/>
      </c>
      <c r="AT587">
        <f>HYPERLINK("http://www.worldcat.org/oclc/43800997","WorldCat Record")</f>
        <v/>
      </c>
    </row>
    <row r="588">
      <c r="A588" t="inlineStr">
        <is>
          <t>No</t>
        </is>
      </c>
      <c r="B588" t="inlineStr">
        <is>
          <t>QV 600 S464 1984</t>
        </is>
      </c>
      <c r="C588" t="inlineStr">
        <is>
          <t>0                      QV 0600000S  464         1984</t>
        </is>
      </c>
      <c r="D588" t="inlineStr">
        <is>
          <t>The Selection of doses in chronic toxicity/carcinogenicity studies : age associated (geriatric) pathology, its impact on long-term toxicity studies / edited by H.C. Grice.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New York : Springer-Verlag, c1984.</t>
        </is>
      </c>
      <c r="M588" t="inlineStr">
        <is>
          <t>1984</t>
        </is>
      </c>
      <c r="O588" t="inlineStr">
        <is>
          <t>eng</t>
        </is>
      </c>
      <c r="P588" t="inlineStr">
        <is>
          <t>nyu</t>
        </is>
      </c>
      <c r="Q588" t="inlineStr">
        <is>
          <t>Current issues in toxicology</t>
        </is>
      </c>
      <c r="R588" t="inlineStr">
        <is>
          <t xml:space="preserve">QV </t>
        </is>
      </c>
      <c r="S588" t="n">
        <v>4</v>
      </c>
      <c r="T588" t="n">
        <v>4</v>
      </c>
      <c r="U588" t="inlineStr">
        <is>
          <t>1995-07-14</t>
        </is>
      </c>
      <c r="V588" t="inlineStr">
        <is>
          <t>1995-07-14</t>
        </is>
      </c>
      <c r="W588" t="inlineStr">
        <is>
          <t>1988-02-09</t>
        </is>
      </c>
      <c r="X588" t="inlineStr">
        <is>
          <t>1988-02-09</t>
        </is>
      </c>
      <c r="Y588" t="n">
        <v>136</v>
      </c>
      <c r="Z588" t="n">
        <v>105</v>
      </c>
      <c r="AA588" t="n">
        <v>129</v>
      </c>
      <c r="AB588" t="n">
        <v>2</v>
      </c>
      <c r="AC588" t="n">
        <v>2</v>
      </c>
      <c r="AD588" t="n">
        <v>1</v>
      </c>
      <c r="AE588" t="n">
        <v>2</v>
      </c>
      <c r="AF588" t="n">
        <v>0</v>
      </c>
      <c r="AG588" t="n">
        <v>1</v>
      </c>
      <c r="AH588" t="n">
        <v>0</v>
      </c>
      <c r="AI588" t="n">
        <v>0</v>
      </c>
      <c r="AJ588" t="n">
        <v>0</v>
      </c>
      <c r="AK588" t="n">
        <v>1</v>
      </c>
      <c r="AL588" t="n">
        <v>1</v>
      </c>
      <c r="AM588" t="n">
        <v>1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HYPERLINK("http://catalog.hathitrust.org/Record/009479028","HathiTrust Record")</f>
        <v/>
      </c>
      <c r="AS588">
        <f>HYPERLINK("https://creighton-primo.hosted.exlibrisgroup.com/primo-explore/search?tab=default_tab&amp;search_scope=EVERYTHING&amp;vid=01CRU&amp;lang=en_US&amp;offset=0&amp;query=any,contains,991000962069702656","Catalog Record")</f>
        <v/>
      </c>
      <c r="AT588">
        <f>HYPERLINK("http://www.worldcat.org/oclc/9645383","WorldCat Record")</f>
        <v/>
      </c>
    </row>
    <row r="589">
      <c r="A589" t="inlineStr">
        <is>
          <t>No</t>
        </is>
      </c>
      <c r="B589" t="inlineStr">
        <is>
          <t>QV 600 T434c 1972</t>
        </is>
      </c>
      <c r="C589" t="inlineStr">
        <is>
          <t>0                      QV 0600000T  434c        1972</t>
        </is>
      </c>
      <c r="D589" t="inlineStr">
        <is>
          <t>Clinical toxicology / Clinton H. Thienes, Thomas J. Haley.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Thienes, Clinton H. (Clinton Hobart), 1896-1976.</t>
        </is>
      </c>
      <c r="L589" t="inlineStr">
        <is>
          <t>Philadelphia : Lea &amp; Febiger, c1972.</t>
        </is>
      </c>
      <c r="M589" t="inlineStr">
        <is>
          <t>1972</t>
        </is>
      </c>
      <c r="N589" t="inlineStr">
        <is>
          <t>5th ed.</t>
        </is>
      </c>
      <c r="O589" t="inlineStr">
        <is>
          <t>eng</t>
        </is>
      </c>
      <c r="P589" t="inlineStr">
        <is>
          <t>pau</t>
        </is>
      </c>
      <c r="R589" t="inlineStr">
        <is>
          <t xml:space="preserve">QV </t>
        </is>
      </c>
      <c r="S589" t="n">
        <v>9</v>
      </c>
      <c r="T589" t="n">
        <v>9</v>
      </c>
      <c r="U589" t="inlineStr">
        <is>
          <t>1991-11-12</t>
        </is>
      </c>
      <c r="V589" t="inlineStr">
        <is>
          <t>1991-11-12</t>
        </is>
      </c>
      <c r="W589" t="inlineStr">
        <is>
          <t>1988-02-09</t>
        </is>
      </c>
      <c r="X589" t="inlineStr">
        <is>
          <t>1988-02-09</t>
        </is>
      </c>
      <c r="Y589" t="n">
        <v>274</v>
      </c>
      <c r="Z589" t="n">
        <v>210</v>
      </c>
      <c r="AA589" t="n">
        <v>301</v>
      </c>
      <c r="AB589" t="n">
        <v>2</v>
      </c>
      <c r="AC589" t="n">
        <v>4</v>
      </c>
      <c r="AD589" t="n">
        <v>4</v>
      </c>
      <c r="AE589" t="n">
        <v>10</v>
      </c>
      <c r="AF589" t="n">
        <v>0</v>
      </c>
      <c r="AG589" t="n">
        <v>4</v>
      </c>
      <c r="AH589" t="n">
        <v>1</v>
      </c>
      <c r="AI589" t="n">
        <v>2</v>
      </c>
      <c r="AJ589" t="n">
        <v>2</v>
      </c>
      <c r="AK589" t="n">
        <v>4</v>
      </c>
      <c r="AL589" t="n">
        <v>1</v>
      </c>
      <c r="AM589" t="n">
        <v>3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HYPERLINK("http://catalog.hathitrust.org/Record/001560555","HathiTrust Record")</f>
        <v/>
      </c>
      <c r="AS589">
        <f>HYPERLINK("https://creighton-primo.hosted.exlibrisgroup.com/primo-explore/search?tab=default_tab&amp;search_scope=EVERYTHING&amp;vid=01CRU&amp;lang=en_US&amp;offset=0&amp;query=any,contains,991000962589702656","Catalog Record")</f>
        <v/>
      </c>
      <c r="AT589">
        <f>HYPERLINK("http://www.worldcat.org/oclc/16210229","WorldCat Record")</f>
        <v/>
      </c>
    </row>
    <row r="590">
      <c r="A590" t="inlineStr">
        <is>
          <t>No</t>
        </is>
      </c>
      <c r="B590" t="inlineStr">
        <is>
          <t>QV 600 T7535 1984</t>
        </is>
      </c>
      <c r="C590" t="inlineStr">
        <is>
          <t>0                      QV 0600000T  7535        1984</t>
        </is>
      </c>
      <c r="D590" t="inlineStr">
        <is>
          <t>Toxic emergencies / edited by William Hanson, Jr.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New York : Churchill Livingstone, c1984.</t>
        </is>
      </c>
      <c r="M590" t="inlineStr">
        <is>
          <t>1984</t>
        </is>
      </c>
      <c r="O590" t="inlineStr">
        <is>
          <t>eng</t>
        </is>
      </c>
      <c r="P590" t="inlineStr">
        <is>
          <t xml:space="preserve">xx </t>
        </is>
      </c>
      <c r="Q590" t="inlineStr">
        <is>
          <t>Clinics in emergency medicine ; 5</t>
        </is>
      </c>
      <c r="R590" t="inlineStr">
        <is>
          <t xml:space="preserve">QV </t>
        </is>
      </c>
      <c r="S590" t="n">
        <v>6</v>
      </c>
      <c r="T590" t="n">
        <v>6</v>
      </c>
      <c r="U590" t="inlineStr">
        <is>
          <t>1988-09-28</t>
        </is>
      </c>
      <c r="V590" t="inlineStr">
        <is>
          <t>1988-09-28</t>
        </is>
      </c>
      <c r="W590" t="inlineStr">
        <is>
          <t>1988-02-09</t>
        </is>
      </c>
      <c r="X590" t="inlineStr">
        <is>
          <t>1988-02-09</t>
        </is>
      </c>
      <c r="Y590" t="n">
        <v>99</v>
      </c>
      <c r="Z590" t="n">
        <v>75</v>
      </c>
      <c r="AA590" t="n">
        <v>75</v>
      </c>
      <c r="AB590" t="n">
        <v>1</v>
      </c>
      <c r="AC590" t="n">
        <v>1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HYPERLINK("https://creighton-primo.hosted.exlibrisgroup.com/primo-explore/search?tab=default_tab&amp;search_scope=EVERYTHING&amp;vid=01CRU&amp;lang=en_US&amp;offset=0&amp;query=any,contains,991001091069702656","Catalog Record")</f>
        <v/>
      </c>
      <c r="AT590">
        <f>HYPERLINK("http://www.worldcat.org/oclc/10695845","WorldCat Record")</f>
        <v/>
      </c>
    </row>
    <row r="591">
      <c r="A591" t="inlineStr">
        <is>
          <t>No</t>
        </is>
      </c>
      <c r="B591" t="inlineStr">
        <is>
          <t>QV 600 T75436 1990</t>
        </is>
      </c>
      <c r="C591" t="inlineStr">
        <is>
          <t>0                      QV 0600000T  75436       1990</t>
        </is>
      </c>
      <c r="D591" t="inlineStr">
        <is>
          <t>Goldfrank's toxicologic emergencies / editors, Lewis R. Goldfrank ... [et al.].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Yes</t>
        </is>
      </c>
      <c r="J591" t="inlineStr">
        <is>
          <t>1</t>
        </is>
      </c>
      <c r="K591" t="inlineStr">
        <is>
          <t>Toxicologic emergencies.</t>
        </is>
      </c>
      <c r="L591" t="inlineStr">
        <is>
          <t>Norwalk, Conn. : Appleton &amp; Lange, c1990.</t>
        </is>
      </c>
      <c r="M591" t="inlineStr">
        <is>
          <t>1990</t>
        </is>
      </c>
      <c r="N591" t="inlineStr">
        <is>
          <t>4th ed.</t>
        </is>
      </c>
      <c r="O591" t="inlineStr">
        <is>
          <t>eng</t>
        </is>
      </c>
      <c r="P591" t="inlineStr">
        <is>
          <t>ctu</t>
        </is>
      </c>
      <c r="R591" t="inlineStr">
        <is>
          <t xml:space="preserve">QV </t>
        </is>
      </c>
      <c r="S591" t="n">
        <v>32</v>
      </c>
      <c r="T591" t="n">
        <v>32</v>
      </c>
      <c r="U591" t="inlineStr">
        <is>
          <t>1997-12-19</t>
        </is>
      </c>
      <c r="V591" t="inlineStr">
        <is>
          <t>1997-12-19</t>
        </is>
      </c>
      <c r="W591" t="inlineStr">
        <is>
          <t>1991-02-19</t>
        </is>
      </c>
      <c r="X591" t="inlineStr">
        <is>
          <t>1991-02-19</t>
        </is>
      </c>
      <c r="Y591" t="n">
        <v>178</v>
      </c>
      <c r="Z591" t="n">
        <v>146</v>
      </c>
      <c r="AA591" t="n">
        <v>809</v>
      </c>
      <c r="AB591" t="n">
        <v>1</v>
      </c>
      <c r="AC591" t="n">
        <v>4</v>
      </c>
      <c r="AD591" t="n">
        <v>1</v>
      </c>
      <c r="AE591" t="n">
        <v>19</v>
      </c>
      <c r="AF591" t="n">
        <v>0</v>
      </c>
      <c r="AG591" t="n">
        <v>8</v>
      </c>
      <c r="AH591" t="n">
        <v>0</v>
      </c>
      <c r="AI591" t="n">
        <v>4</v>
      </c>
      <c r="AJ591" t="n">
        <v>1</v>
      </c>
      <c r="AK591" t="n">
        <v>7</v>
      </c>
      <c r="AL591" t="n">
        <v>0</v>
      </c>
      <c r="AM591" t="n">
        <v>2</v>
      </c>
      <c r="AN591" t="n">
        <v>0</v>
      </c>
      <c r="AO591" t="n">
        <v>1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HYPERLINK("http://catalog.hathitrust.org/Record/002234990","HathiTrust Record")</f>
        <v/>
      </c>
      <c r="AS591">
        <f>HYPERLINK("https://creighton-primo.hosted.exlibrisgroup.com/primo-explore/search?tab=default_tab&amp;search_scope=EVERYTHING&amp;vid=01CRU&amp;lang=en_US&amp;offset=0&amp;query=any,contains,991000821479702656","Catalog Record")</f>
        <v/>
      </c>
      <c r="AT591">
        <f>HYPERLINK("http://www.worldcat.org/oclc/20566807","WorldCat Record")</f>
        <v/>
      </c>
    </row>
    <row r="592">
      <c r="A592" t="inlineStr">
        <is>
          <t>No</t>
        </is>
      </c>
      <c r="B592" t="inlineStr">
        <is>
          <t>QV 600 T755 1981 v.1</t>
        </is>
      </c>
      <c r="C592" t="inlineStr">
        <is>
          <t>0                      QV 0600000T  755         1981                                        v.1</t>
        </is>
      </c>
      <c r="D592" t="inlineStr">
        <is>
          <t>Toxicology : principles and practice : Volume 1 / edited by Andrew L. Reeves.</t>
        </is>
      </c>
      <c r="E592" t="inlineStr">
        <is>
          <t>V.1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L592" t="inlineStr">
        <is>
          <t>New York : Wiley, c1981.</t>
        </is>
      </c>
      <c r="M592" t="inlineStr">
        <is>
          <t>1981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QV </t>
        </is>
      </c>
      <c r="S592" t="n">
        <v>2</v>
      </c>
      <c r="T592" t="n">
        <v>2</v>
      </c>
      <c r="U592" t="inlineStr">
        <is>
          <t>1993-02-26</t>
        </is>
      </c>
      <c r="V592" t="inlineStr">
        <is>
          <t>1993-02-26</t>
        </is>
      </c>
      <c r="W592" t="inlineStr">
        <is>
          <t>1988-02-09</t>
        </is>
      </c>
      <c r="X592" t="inlineStr">
        <is>
          <t>1988-02-09</t>
        </is>
      </c>
      <c r="Y592" t="n">
        <v>259</v>
      </c>
      <c r="Z592" t="n">
        <v>205</v>
      </c>
      <c r="AA592" t="n">
        <v>207</v>
      </c>
      <c r="AB592" t="n">
        <v>1</v>
      </c>
      <c r="AC592" t="n">
        <v>1</v>
      </c>
      <c r="AD592" t="n">
        <v>3</v>
      </c>
      <c r="AE592" t="n">
        <v>3</v>
      </c>
      <c r="AF592" t="n">
        <v>1</v>
      </c>
      <c r="AG592" t="n">
        <v>1</v>
      </c>
      <c r="AH592" t="n">
        <v>1</v>
      </c>
      <c r="AI592" t="n">
        <v>1</v>
      </c>
      <c r="AJ592" t="n">
        <v>2</v>
      </c>
      <c r="AK592" t="n">
        <v>2</v>
      </c>
      <c r="AL592" t="n">
        <v>0</v>
      </c>
      <c r="AM592" t="n">
        <v>0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HYPERLINK("http://catalog.hathitrust.org/Record/000185533","HathiTrust Record")</f>
        <v/>
      </c>
      <c r="AS592">
        <f>HYPERLINK("https://creighton-primo.hosted.exlibrisgroup.com/primo-explore/search?tab=default_tab&amp;search_scope=EVERYTHING&amp;vid=01CRU&amp;lang=en_US&amp;offset=0&amp;query=any,contains,991000962549702656","Catalog Record")</f>
        <v/>
      </c>
      <c r="AT592">
        <f>HYPERLINK("http://www.worldcat.org/oclc/6554790","WorldCat Record")</f>
        <v/>
      </c>
    </row>
    <row r="593">
      <c r="A593" t="inlineStr">
        <is>
          <t>No</t>
        </is>
      </c>
      <c r="B593" t="inlineStr">
        <is>
          <t>QV 600 T7552 1990</t>
        </is>
      </c>
      <c r="C593" t="inlineStr">
        <is>
          <t>0                      QV 0600000T  7552        1990</t>
        </is>
      </c>
      <c r="D593" t="inlineStr">
        <is>
          <t>Toxic interactions / edited by Robin S. Goldstein, William R. Hewitt, Jerry B. Hook.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L593" t="inlineStr">
        <is>
          <t>San Diego : Academic Press, c1990.</t>
        </is>
      </c>
      <c r="M593" t="inlineStr">
        <is>
          <t>1990</t>
        </is>
      </c>
      <c r="O593" t="inlineStr">
        <is>
          <t>eng</t>
        </is>
      </c>
      <c r="P593" t="inlineStr">
        <is>
          <t>cau</t>
        </is>
      </c>
      <c r="R593" t="inlineStr">
        <is>
          <t xml:space="preserve">QV </t>
        </is>
      </c>
      <c r="S593" t="n">
        <v>4</v>
      </c>
      <c r="T593" t="n">
        <v>4</v>
      </c>
      <c r="U593" t="inlineStr">
        <is>
          <t>1991-01-23</t>
        </is>
      </c>
      <c r="V593" t="inlineStr">
        <is>
          <t>1991-01-23</t>
        </is>
      </c>
      <c r="W593" t="inlineStr">
        <is>
          <t>1990-11-14</t>
        </is>
      </c>
      <c r="X593" t="inlineStr">
        <is>
          <t>1990-11-14</t>
        </is>
      </c>
      <c r="Y593" t="n">
        <v>143</v>
      </c>
      <c r="Z593" t="n">
        <v>108</v>
      </c>
      <c r="AA593" t="n">
        <v>149</v>
      </c>
      <c r="AB593" t="n">
        <v>1</v>
      </c>
      <c r="AC593" t="n">
        <v>1</v>
      </c>
      <c r="AD593" t="n">
        <v>2</v>
      </c>
      <c r="AE593" t="n">
        <v>4</v>
      </c>
      <c r="AF593" t="n">
        <v>1</v>
      </c>
      <c r="AG593" t="n">
        <v>2</v>
      </c>
      <c r="AH593" t="n">
        <v>1</v>
      </c>
      <c r="AI593" t="n">
        <v>2</v>
      </c>
      <c r="AJ593" t="n">
        <v>0</v>
      </c>
      <c r="AK593" t="n">
        <v>0</v>
      </c>
      <c r="AL593" t="n">
        <v>0</v>
      </c>
      <c r="AM593" t="n">
        <v>0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HYPERLINK("http://catalog.hathitrust.org/Record/002219005","HathiTrust Record")</f>
        <v/>
      </c>
      <c r="AS593">
        <f>HYPERLINK("https://creighton-primo.hosted.exlibrisgroup.com/primo-explore/search?tab=default_tab&amp;search_scope=EVERYTHING&amp;vid=01CRU&amp;lang=en_US&amp;offset=0&amp;query=any,contains,991000780139702656","Catalog Record")</f>
        <v/>
      </c>
      <c r="AT593">
        <f>HYPERLINK("http://www.worldcat.org/oclc/20798883","WorldCat Record")</f>
        <v/>
      </c>
    </row>
    <row r="594">
      <c r="A594" t="inlineStr">
        <is>
          <t>No</t>
        </is>
      </c>
      <c r="B594" t="inlineStr">
        <is>
          <t>QV 600 T755d 1987</t>
        </is>
      </c>
      <c r="C594" t="inlineStr">
        <is>
          <t>0                      QV 0600000T  755d        1987</t>
        </is>
      </c>
      <c r="D594" t="inlineStr">
        <is>
          <t>Toxicological and immunological aspects of drug metabolism and environmental chemicals : Symposium Hotel Schloss Fuschl, Austria, 1st-4th November, 1987 / editors: Ronald W. Estabrook ... [et al.]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Stuttgart ; New York : F.K. Schattauer Verlag, c1988.</t>
        </is>
      </c>
      <c r="M594" t="inlineStr">
        <is>
          <t>1988</t>
        </is>
      </c>
      <c r="O594" t="inlineStr">
        <is>
          <t>eng</t>
        </is>
      </c>
      <c r="P594" t="inlineStr">
        <is>
          <t xml:space="preserve">gw </t>
        </is>
      </c>
      <c r="Q594" t="inlineStr">
        <is>
          <t>Symposia medica Hoechst ; 22</t>
        </is>
      </c>
      <c r="R594" t="inlineStr">
        <is>
          <t xml:space="preserve">QV </t>
        </is>
      </c>
      <c r="S594" t="n">
        <v>1</v>
      </c>
      <c r="T594" t="n">
        <v>1</v>
      </c>
      <c r="U594" t="inlineStr">
        <is>
          <t>1993-02-26</t>
        </is>
      </c>
      <c r="V594" t="inlineStr">
        <is>
          <t>1993-02-26</t>
        </is>
      </c>
      <c r="W594" t="inlineStr">
        <is>
          <t>1989-06-28</t>
        </is>
      </c>
      <c r="X594" t="inlineStr">
        <is>
          <t>1989-06-28</t>
        </is>
      </c>
      <c r="Y594" t="n">
        <v>81</v>
      </c>
      <c r="Z594" t="n">
        <v>70</v>
      </c>
      <c r="AA594" t="n">
        <v>72</v>
      </c>
      <c r="AB594" t="n">
        <v>2</v>
      </c>
      <c r="AC594" t="n">
        <v>2</v>
      </c>
      <c r="AD594" t="n">
        <v>2</v>
      </c>
      <c r="AE594" t="n">
        <v>2</v>
      </c>
      <c r="AF594" t="n">
        <v>0</v>
      </c>
      <c r="AG594" t="n">
        <v>0</v>
      </c>
      <c r="AH594" t="n">
        <v>0</v>
      </c>
      <c r="AI594" t="n">
        <v>0</v>
      </c>
      <c r="AJ594" t="n">
        <v>1</v>
      </c>
      <c r="AK594" t="n">
        <v>1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HYPERLINK("http://catalog.hathitrust.org/Record/001827779","HathiTrust Record")</f>
        <v/>
      </c>
      <c r="AS594">
        <f>HYPERLINK("https://creighton-primo.hosted.exlibrisgroup.com/primo-explore/search?tab=default_tab&amp;search_scope=EVERYTHING&amp;vid=01CRU&amp;lang=en_US&amp;offset=0&amp;query=any,contains,991001309199702656","Catalog Record")</f>
        <v/>
      </c>
      <c r="AT594">
        <f>HYPERLINK("http://www.worldcat.org/oclc/20896240","WorldCat Record")</f>
        <v/>
      </c>
    </row>
    <row r="595">
      <c r="A595" t="inlineStr">
        <is>
          <t>No</t>
        </is>
      </c>
      <c r="B595" t="inlineStr">
        <is>
          <t>QV601 F583a 2001</t>
        </is>
      </c>
      <c r="C595" t="inlineStr">
        <is>
          <t>0                      QV 0601000F  583a        2001</t>
        </is>
      </c>
      <c r="D595" t="inlineStr">
        <is>
          <t>Antidotes / Robert J. Flanagan, Alison L. Jones ; with a section on antidotes and chemical warfare by Timothy C. Marrs and Robert L. Maynard.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Flanagan, Robert James.</t>
        </is>
      </c>
      <c r="L595" t="inlineStr">
        <is>
          <t>London ; New York : Taylor &amp; Francis, 2001.</t>
        </is>
      </c>
      <c r="M595" t="inlineStr">
        <is>
          <t>2001</t>
        </is>
      </c>
      <c r="O595" t="inlineStr">
        <is>
          <t>eng</t>
        </is>
      </c>
      <c r="P595" t="inlineStr">
        <is>
          <t>enk</t>
        </is>
      </c>
      <c r="R595" t="inlineStr">
        <is>
          <t xml:space="preserve">QV </t>
        </is>
      </c>
      <c r="S595" t="n">
        <v>0</v>
      </c>
      <c r="T595" t="n">
        <v>0</v>
      </c>
      <c r="U595" t="inlineStr">
        <is>
          <t>2003-12-23</t>
        </is>
      </c>
      <c r="V595" t="inlineStr">
        <is>
          <t>2003-12-23</t>
        </is>
      </c>
      <c r="W595" t="inlineStr">
        <is>
          <t>2003-12-22</t>
        </is>
      </c>
      <c r="X595" t="inlineStr">
        <is>
          <t>2003-12-22</t>
        </is>
      </c>
      <c r="Y595" t="n">
        <v>101</v>
      </c>
      <c r="Z595" t="n">
        <v>61</v>
      </c>
      <c r="AA595" t="n">
        <v>405</v>
      </c>
      <c r="AB595" t="n">
        <v>1</v>
      </c>
      <c r="AC595" t="n">
        <v>27</v>
      </c>
      <c r="AD595" t="n">
        <v>0</v>
      </c>
      <c r="AE595" t="n">
        <v>16</v>
      </c>
      <c r="AF595" t="n">
        <v>0</v>
      </c>
      <c r="AG595" t="n">
        <v>3</v>
      </c>
      <c r="AH595" t="n">
        <v>0</v>
      </c>
      <c r="AI595" t="n">
        <v>0</v>
      </c>
      <c r="AJ595" t="n">
        <v>0</v>
      </c>
      <c r="AK595" t="n">
        <v>2</v>
      </c>
      <c r="AL595" t="n">
        <v>0</v>
      </c>
      <c r="AM595" t="n">
        <v>12</v>
      </c>
      <c r="AN595" t="n">
        <v>0</v>
      </c>
      <c r="AO595" t="n">
        <v>0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HYPERLINK("https://creighton-primo.hosted.exlibrisgroup.com/primo-explore/search?tab=default_tab&amp;search_scope=EVERYTHING&amp;vid=01CRU&amp;lang=en_US&amp;offset=0&amp;query=any,contains,991000362879702656","Catalog Record")</f>
        <v/>
      </c>
      <c r="AT595">
        <f>HYPERLINK("http://www.worldcat.org/oclc/47717992","WorldCat Record")</f>
        <v/>
      </c>
    </row>
    <row r="596">
      <c r="A596" t="inlineStr">
        <is>
          <t>No</t>
        </is>
      </c>
      <c r="B596" t="inlineStr">
        <is>
          <t>QV 602 T7545 1983</t>
        </is>
      </c>
      <c r="C596" t="inlineStr">
        <is>
          <t>0                      QV 0602000T  7545        1983</t>
        </is>
      </c>
      <c r="D596" t="inlineStr">
        <is>
          <t>Toxicity testing : new approaches and applications in human risk assessment / editor-in-chief, A.P. Li ; associate editors, T.L. Blank ... [et al.].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L596" t="inlineStr">
        <is>
          <t>New York : Raven Press, c1985.</t>
        </is>
      </c>
      <c r="M596" t="inlineStr">
        <is>
          <t>1985</t>
        </is>
      </c>
      <c r="O596" t="inlineStr">
        <is>
          <t>eng</t>
        </is>
      </c>
      <c r="P596" t="inlineStr">
        <is>
          <t>xxu</t>
        </is>
      </c>
      <c r="R596" t="inlineStr">
        <is>
          <t xml:space="preserve">QV </t>
        </is>
      </c>
      <c r="S596" t="n">
        <v>2</v>
      </c>
      <c r="T596" t="n">
        <v>2</v>
      </c>
      <c r="U596" t="inlineStr">
        <is>
          <t>1996-11-21</t>
        </is>
      </c>
      <c r="V596" t="inlineStr">
        <is>
          <t>1996-11-21</t>
        </is>
      </c>
      <c r="W596" t="inlineStr">
        <is>
          <t>1988-02-09</t>
        </is>
      </c>
      <c r="X596" t="inlineStr">
        <is>
          <t>1988-02-09</t>
        </is>
      </c>
      <c r="Y596" t="n">
        <v>171</v>
      </c>
      <c r="Z596" t="n">
        <v>130</v>
      </c>
      <c r="AA596" t="n">
        <v>133</v>
      </c>
      <c r="AB596" t="n">
        <v>1</v>
      </c>
      <c r="AC596" t="n">
        <v>1</v>
      </c>
      <c r="AD596" t="n">
        <v>3</v>
      </c>
      <c r="AE596" t="n">
        <v>3</v>
      </c>
      <c r="AF596" t="n">
        <v>0</v>
      </c>
      <c r="AG596" t="n">
        <v>0</v>
      </c>
      <c r="AH596" t="n">
        <v>1</v>
      </c>
      <c r="AI596" t="n">
        <v>1</v>
      </c>
      <c r="AJ596" t="n">
        <v>2</v>
      </c>
      <c r="AK596" t="n">
        <v>2</v>
      </c>
      <c r="AL596" t="n">
        <v>0</v>
      </c>
      <c r="AM596" t="n">
        <v>0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HYPERLINK("http://catalog.hathitrust.org/Record/000648106","HathiTrust Record")</f>
        <v/>
      </c>
      <c r="AS596">
        <f>HYPERLINK("https://creighton-primo.hosted.exlibrisgroup.com/primo-explore/search?tab=default_tab&amp;search_scope=EVERYTHING&amp;vid=01CRU&amp;lang=en_US&amp;offset=0&amp;query=any,contains,991000963109702656","Catalog Record")</f>
        <v/>
      </c>
      <c r="AT596">
        <f>HYPERLINK("http://www.worldcat.org/oclc/11548383","WorldCat Record")</f>
        <v/>
      </c>
    </row>
    <row r="597">
      <c r="A597" t="inlineStr">
        <is>
          <t>No</t>
        </is>
      </c>
      <c r="B597" t="inlineStr">
        <is>
          <t>QV 605 T755</t>
        </is>
      </c>
      <c r="C597" t="inlineStr">
        <is>
          <t>0                      QV 0605000T  755</t>
        </is>
      </c>
      <c r="D597" t="inlineStr">
        <is>
          <t>The Toxic substances list / Herbert E. Christensen, editor ... [et al.] ; prepared for the National Institute for Occupational Safety and Health by Tracor Jitco, inc.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L597" t="inlineStr">
        <is>
          <t>New York : Commerce Clearing House, 1973.</t>
        </is>
      </c>
      <c r="M597" t="inlineStr">
        <is>
          <t>1973</t>
        </is>
      </c>
      <c r="N597" t="inlineStr">
        <is>
          <t>1973 ed.</t>
        </is>
      </c>
      <c r="O597" t="inlineStr">
        <is>
          <t>eng</t>
        </is>
      </c>
      <c r="P597" t="inlineStr">
        <is>
          <t>nyu</t>
        </is>
      </c>
      <c r="Q597" t="inlineStr">
        <is>
          <t>CCH employment safety and health guide : special report ; Nov. 7, 1973</t>
        </is>
      </c>
      <c r="R597" t="inlineStr">
        <is>
          <t xml:space="preserve">QV </t>
        </is>
      </c>
      <c r="S597" t="n">
        <v>5</v>
      </c>
      <c r="T597" t="n">
        <v>5</v>
      </c>
      <c r="U597" t="inlineStr">
        <is>
          <t>1991-05-23</t>
        </is>
      </c>
      <c r="V597" t="inlineStr">
        <is>
          <t>1991-05-23</t>
        </is>
      </c>
      <c r="W597" t="inlineStr">
        <is>
          <t>1989-03-21</t>
        </is>
      </c>
      <c r="X597" t="inlineStr">
        <is>
          <t>1989-03-21</t>
        </is>
      </c>
      <c r="Y597" t="n">
        <v>7</v>
      </c>
      <c r="Z597" t="n">
        <v>7</v>
      </c>
      <c r="AA597" t="n">
        <v>35</v>
      </c>
      <c r="AB597" t="n">
        <v>1</v>
      </c>
      <c r="AC597" t="n">
        <v>1</v>
      </c>
      <c r="AD597" t="n">
        <v>0</v>
      </c>
      <c r="AE597" t="n">
        <v>1</v>
      </c>
      <c r="AF597" t="n">
        <v>0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0</v>
      </c>
      <c r="AM597" t="n">
        <v>0</v>
      </c>
      <c r="AN597" t="n">
        <v>0</v>
      </c>
      <c r="AO597" t="n">
        <v>1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HYPERLINK("https://creighton-primo.hosted.exlibrisgroup.com/primo-explore/search?tab=default_tab&amp;search_scope=EVERYTHING&amp;vid=01CRU&amp;lang=en_US&amp;offset=0&amp;query=any,contains,991000963079702656","Catalog Record")</f>
        <v/>
      </c>
      <c r="AT597">
        <f>HYPERLINK("http://www.worldcat.org/oclc/7489950","WorldCat Record")</f>
        <v/>
      </c>
    </row>
    <row r="598">
      <c r="A598" t="inlineStr">
        <is>
          <t>No</t>
        </is>
      </c>
      <c r="B598" t="inlineStr">
        <is>
          <t>QV 610 H236 1979</t>
        </is>
      </c>
      <c r="C598" t="inlineStr">
        <is>
          <t>0                      QV 0610000H  236         1979</t>
        </is>
      </c>
      <c r="D598" t="inlineStr">
        <is>
          <t>Handbook on the toxicology of metals / edited by Lars Friberg, Gunnar F. Nordberg, and Velimir B. Vouk.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1</t>
        </is>
      </c>
      <c r="L598" t="inlineStr">
        <is>
          <t>Amsterdam ; New York : Elsevier/North-Holland Biomedical Press ; New York : sole distributors for the U.S.A. and Canada, 1979, c1978.</t>
        </is>
      </c>
      <c r="M598" t="inlineStr">
        <is>
          <t>1979</t>
        </is>
      </c>
      <c r="O598" t="inlineStr">
        <is>
          <t>eng</t>
        </is>
      </c>
      <c r="P598" t="inlineStr">
        <is>
          <t xml:space="preserve">ne </t>
        </is>
      </c>
      <c r="R598" t="inlineStr">
        <is>
          <t xml:space="preserve">QV </t>
        </is>
      </c>
      <c r="S598" t="n">
        <v>17</v>
      </c>
      <c r="T598" t="n">
        <v>17</v>
      </c>
      <c r="U598" t="inlineStr">
        <is>
          <t>2006-11-02</t>
        </is>
      </c>
      <c r="V598" t="inlineStr">
        <is>
          <t>2006-11-02</t>
        </is>
      </c>
      <c r="W598" t="inlineStr">
        <is>
          <t>1988-02-09</t>
        </is>
      </c>
      <c r="X598" t="inlineStr">
        <is>
          <t>1988-02-09</t>
        </is>
      </c>
      <c r="Y598" t="n">
        <v>230</v>
      </c>
      <c r="Z598" t="n">
        <v>128</v>
      </c>
      <c r="AA598" t="n">
        <v>938</v>
      </c>
      <c r="AB598" t="n">
        <v>1</v>
      </c>
      <c r="AC598" t="n">
        <v>14</v>
      </c>
      <c r="AD598" t="n">
        <v>2</v>
      </c>
      <c r="AE598" t="n">
        <v>41</v>
      </c>
      <c r="AF598" t="n">
        <v>1</v>
      </c>
      <c r="AG598" t="n">
        <v>13</v>
      </c>
      <c r="AH598" t="n">
        <v>0</v>
      </c>
      <c r="AI598" t="n">
        <v>9</v>
      </c>
      <c r="AJ598" t="n">
        <v>1</v>
      </c>
      <c r="AK598" t="n">
        <v>10</v>
      </c>
      <c r="AL598" t="n">
        <v>0</v>
      </c>
      <c r="AM598" t="n">
        <v>12</v>
      </c>
      <c r="AN598" t="n">
        <v>0</v>
      </c>
      <c r="AO598" t="n">
        <v>2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HYPERLINK("http://catalog.hathitrust.org/Record/000033562","HathiTrust Record")</f>
        <v/>
      </c>
      <c r="AS598">
        <f>HYPERLINK("https://creighton-primo.hosted.exlibrisgroup.com/primo-explore/search?tab=default_tab&amp;search_scope=EVERYTHING&amp;vid=01CRU&amp;lang=en_US&amp;offset=0&amp;query=any,contains,991000963019702656","Catalog Record")</f>
        <v/>
      </c>
      <c r="AT598">
        <f>HYPERLINK("http://www.worldcat.org/oclc/5239756","WorldCat Record")</f>
        <v/>
      </c>
    </row>
    <row r="599">
      <c r="A599" t="inlineStr">
        <is>
          <t>No</t>
        </is>
      </c>
      <c r="B599" t="inlineStr">
        <is>
          <t>QV638 A6527 2006</t>
        </is>
      </c>
      <c r="C599" t="inlineStr">
        <is>
          <t>0                      QV 0638000A  6527        2006</t>
        </is>
      </c>
      <c r="D599" t="inlineStr">
        <is>
          <t>Applied pharmacokinetics &amp; pharmacodynamics : principles of therapeutic drug monitoring / editors, Michael E. Burton ... [et al.].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Yes</t>
        </is>
      </c>
      <c r="J599" t="inlineStr">
        <is>
          <t>0</t>
        </is>
      </c>
      <c r="L599" t="inlineStr">
        <is>
          <t>Baltimore : Lippincott Williams &amp; Wilkins, c2006.</t>
        </is>
      </c>
      <c r="M599" t="inlineStr">
        <is>
          <t>2006</t>
        </is>
      </c>
      <c r="N599" t="inlineStr">
        <is>
          <t>4th ed.</t>
        </is>
      </c>
      <c r="O599" t="inlineStr">
        <is>
          <t>eng</t>
        </is>
      </c>
      <c r="P599" t="inlineStr">
        <is>
          <t>mdu</t>
        </is>
      </c>
      <c r="R599" t="inlineStr">
        <is>
          <t xml:space="preserve">QV </t>
        </is>
      </c>
      <c r="S599" t="n">
        <v>1</v>
      </c>
      <c r="T599" t="n">
        <v>1</v>
      </c>
      <c r="U599" t="inlineStr">
        <is>
          <t>2007-05-17</t>
        </is>
      </c>
      <c r="V599" t="inlineStr">
        <is>
          <t>2007-05-17</t>
        </is>
      </c>
      <c r="W599" t="inlineStr">
        <is>
          <t>2006-10-27</t>
        </is>
      </c>
      <c r="X599" t="inlineStr">
        <is>
          <t>2006-10-27</t>
        </is>
      </c>
      <c r="Y599" t="n">
        <v>232</v>
      </c>
      <c r="Z599" t="n">
        <v>158</v>
      </c>
      <c r="AA599" t="n">
        <v>261</v>
      </c>
      <c r="AB599" t="n">
        <v>2</v>
      </c>
      <c r="AC599" t="n">
        <v>2</v>
      </c>
      <c r="AD599" t="n">
        <v>10</v>
      </c>
      <c r="AE599" t="n">
        <v>11</v>
      </c>
      <c r="AF599" t="n">
        <v>5</v>
      </c>
      <c r="AG599" t="n">
        <v>5</v>
      </c>
      <c r="AH599" t="n">
        <v>3</v>
      </c>
      <c r="AI599" t="n">
        <v>3</v>
      </c>
      <c r="AJ599" t="n">
        <v>3</v>
      </c>
      <c r="AK599" t="n">
        <v>4</v>
      </c>
      <c r="AL599" t="n">
        <v>1</v>
      </c>
      <c r="AM599" t="n">
        <v>1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HYPERLINK("https://creighton-primo.hosted.exlibrisgroup.com/primo-explore/search?tab=default_tab&amp;search_scope=EVERYTHING&amp;vid=01CRU&amp;lang=en_US&amp;offset=0&amp;query=any,contains,991000562199702656","Catalog Record")</f>
        <v/>
      </c>
      <c r="AT599">
        <f>HYPERLINK("http://www.worldcat.org/oclc/59148565","WorldCat Record")</f>
        <v/>
      </c>
    </row>
    <row r="600">
      <c r="A600" t="inlineStr">
        <is>
          <t>No</t>
        </is>
      </c>
      <c r="B600" t="inlineStr">
        <is>
          <t>QV 662 W784p 1920</t>
        </is>
      </c>
      <c r="C600" t="inlineStr">
        <is>
          <t>0                      QV 0662000W  784p        1920</t>
        </is>
      </c>
      <c r="D600" t="inlineStr">
        <is>
          <t>Collected studies on the pathology of war gas poisoning : from the Department of Pathology and Bacteriology, Medical Science Section, Chemical Warfare Service, under the direction of M.C. Winternitz.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Winternitz, Milton Charles, 1885-1959.</t>
        </is>
      </c>
      <c r="L600" t="inlineStr">
        <is>
          <t>New Haven : Yale University Press, 1920.</t>
        </is>
      </c>
      <c r="M600" t="inlineStr">
        <is>
          <t>1920</t>
        </is>
      </c>
      <c r="O600" t="inlineStr">
        <is>
          <t>eng</t>
        </is>
      </c>
      <c r="P600" t="inlineStr">
        <is>
          <t>ctu</t>
        </is>
      </c>
      <c r="R600" t="inlineStr">
        <is>
          <t xml:space="preserve">QV </t>
        </is>
      </c>
      <c r="S600" t="n">
        <v>8</v>
      </c>
      <c r="T600" t="n">
        <v>8</v>
      </c>
      <c r="U600" t="inlineStr">
        <is>
          <t>2007-08-16</t>
        </is>
      </c>
      <c r="V600" t="inlineStr">
        <is>
          <t>2007-08-16</t>
        </is>
      </c>
      <c r="W600" t="inlineStr">
        <is>
          <t>1988-02-09</t>
        </is>
      </c>
      <c r="X600" t="inlineStr">
        <is>
          <t>1988-02-09</t>
        </is>
      </c>
      <c r="Y600" t="n">
        <v>123</v>
      </c>
      <c r="Z600" t="n">
        <v>84</v>
      </c>
      <c r="AA600" t="n">
        <v>94</v>
      </c>
      <c r="AB600" t="n">
        <v>2</v>
      </c>
      <c r="AC600" t="n">
        <v>2</v>
      </c>
      <c r="AD600" t="n">
        <v>1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1</v>
      </c>
      <c r="AM600" t="n">
        <v>1</v>
      </c>
      <c r="AN600" t="n">
        <v>0</v>
      </c>
      <c r="AO600" t="n">
        <v>0</v>
      </c>
      <c r="AP600" t="inlineStr">
        <is>
          <t>Yes</t>
        </is>
      </c>
      <c r="AQ600" t="inlineStr">
        <is>
          <t>No</t>
        </is>
      </c>
      <c r="AR600">
        <f>HYPERLINK("http://catalog.hathitrust.org/Record/001585227","HathiTrust Record")</f>
        <v/>
      </c>
      <c r="AS600">
        <f>HYPERLINK("https://creighton-primo.hosted.exlibrisgroup.com/primo-explore/search?tab=default_tab&amp;search_scope=EVERYTHING&amp;vid=01CRU&amp;lang=en_US&amp;offset=0&amp;query=any,contains,991000963419702656","Catalog Record")</f>
        <v/>
      </c>
      <c r="AT600">
        <f>HYPERLINK("http://www.worldcat.org/oclc/729389","WorldCat Record")</f>
        <v/>
      </c>
    </row>
    <row r="601">
      <c r="A601" t="inlineStr">
        <is>
          <t>No</t>
        </is>
      </c>
      <c r="B601" t="inlineStr">
        <is>
          <t>QV 663 H236 2009</t>
        </is>
      </c>
      <c r="C601" t="inlineStr">
        <is>
          <t>0                      QV 0663000H  236         2009</t>
        </is>
      </c>
      <c r="D601" t="inlineStr">
        <is>
          <t>Handbook of toxicology of chemical warfare agents / edited by Ramesh C. Gupta.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1</t>
        </is>
      </c>
      <c r="L601" t="inlineStr">
        <is>
          <t>London : Academic Press, 2009.</t>
        </is>
      </c>
      <c r="M601" t="inlineStr">
        <is>
          <t>2009</t>
        </is>
      </c>
      <c r="N601" t="inlineStr">
        <is>
          <t>1st ed.</t>
        </is>
      </c>
      <c r="O601" t="inlineStr">
        <is>
          <t>eng</t>
        </is>
      </c>
      <c r="P601" t="inlineStr">
        <is>
          <t>enk</t>
        </is>
      </c>
      <c r="R601" t="inlineStr">
        <is>
          <t xml:space="preserve">QV </t>
        </is>
      </c>
      <c r="S601" t="n">
        <v>0</v>
      </c>
      <c r="T601" t="n">
        <v>0</v>
      </c>
      <c r="U601" t="inlineStr">
        <is>
          <t>2009-05-22</t>
        </is>
      </c>
      <c r="V601" t="inlineStr">
        <is>
          <t>2009-05-22</t>
        </is>
      </c>
      <c r="W601" t="inlineStr">
        <is>
          <t>2009-05-21</t>
        </is>
      </c>
      <c r="X601" t="inlineStr">
        <is>
          <t>2009-05-21</t>
        </is>
      </c>
      <c r="Y601" t="n">
        <v>52</v>
      </c>
      <c r="Z601" t="n">
        <v>36</v>
      </c>
      <c r="AA601" t="n">
        <v>883</v>
      </c>
      <c r="AB601" t="n">
        <v>1</v>
      </c>
      <c r="AC601" t="n">
        <v>14</v>
      </c>
      <c r="AD601" t="n">
        <v>0</v>
      </c>
      <c r="AE601" t="n">
        <v>39</v>
      </c>
      <c r="AF601" t="n">
        <v>0</v>
      </c>
      <c r="AG601" t="n">
        <v>11</v>
      </c>
      <c r="AH601" t="n">
        <v>0</v>
      </c>
      <c r="AI601" t="n">
        <v>9</v>
      </c>
      <c r="AJ601" t="n">
        <v>0</v>
      </c>
      <c r="AK601" t="n">
        <v>10</v>
      </c>
      <c r="AL601" t="n">
        <v>0</v>
      </c>
      <c r="AM601" t="n">
        <v>12</v>
      </c>
      <c r="AN601" t="n">
        <v>0</v>
      </c>
      <c r="AO601" t="n">
        <v>2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HYPERLINK("https://creighton-primo.hosted.exlibrisgroup.com/primo-explore/search?tab=default_tab&amp;search_scope=EVERYTHING&amp;vid=01CRU&amp;lang=en_US&amp;offset=0&amp;query=any,contains,991001463869702656","Catalog Record")</f>
        <v/>
      </c>
      <c r="AT601">
        <f>HYPERLINK("http://www.worldcat.org/oclc/317442710","WorldCat Record")</f>
        <v/>
      </c>
    </row>
    <row r="602">
      <c r="A602" t="inlineStr">
        <is>
          <t>No</t>
        </is>
      </c>
      <c r="B602" t="inlineStr">
        <is>
          <t>QV663 R586 2004</t>
        </is>
      </c>
      <c r="C602" t="inlineStr">
        <is>
          <t>0                      QV 0663000R  586         2004</t>
        </is>
      </c>
      <c r="D602" t="inlineStr">
        <is>
          <t>Riot control agents : issues in toxicology, safety, and health / edited by Eugene J. Olajos and Woodhall Stopford.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L602" t="inlineStr">
        <is>
          <t>Boca Raton, Fla. : CRC Press, c2004.</t>
        </is>
      </c>
      <c r="M602" t="inlineStr">
        <is>
          <t>2004</t>
        </is>
      </c>
      <c r="O602" t="inlineStr">
        <is>
          <t>eng</t>
        </is>
      </c>
      <c r="P602" t="inlineStr">
        <is>
          <t>flu</t>
        </is>
      </c>
      <c r="R602" t="inlineStr">
        <is>
          <t xml:space="preserve">QV </t>
        </is>
      </c>
      <c r="S602" t="n">
        <v>1</v>
      </c>
      <c r="T602" t="n">
        <v>1</v>
      </c>
      <c r="U602" t="inlineStr">
        <is>
          <t>2005-02-01</t>
        </is>
      </c>
      <c r="V602" t="inlineStr">
        <is>
          <t>2005-02-01</t>
        </is>
      </c>
      <c r="W602" t="inlineStr">
        <is>
          <t>2005-01-14</t>
        </is>
      </c>
      <c r="X602" t="inlineStr">
        <is>
          <t>2005-01-14</t>
        </is>
      </c>
      <c r="Y602" t="n">
        <v>97</v>
      </c>
      <c r="Z602" t="n">
        <v>74</v>
      </c>
      <c r="AA602" t="n">
        <v>465</v>
      </c>
      <c r="AB602" t="n">
        <v>1</v>
      </c>
      <c r="AC602" t="n">
        <v>27</v>
      </c>
      <c r="AD602" t="n">
        <v>1</v>
      </c>
      <c r="AE602" t="n">
        <v>13</v>
      </c>
      <c r="AF602" t="n">
        <v>0</v>
      </c>
      <c r="AG602" t="n">
        <v>2</v>
      </c>
      <c r="AH602" t="n">
        <v>1</v>
      </c>
      <c r="AI602" t="n">
        <v>1</v>
      </c>
      <c r="AJ602" t="n">
        <v>1</v>
      </c>
      <c r="AK602" t="n">
        <v>3</v>
      </c>
      <c r="AL602" t="n">
        <v>0</v>
      </c>
      <c r="AM602" t="n">
        <v>8</v>
      </c>
      <c r="AN602" t="n">
        <v>0</v>
      </c>
      <c r="AO602" t="n">
        <v>0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HYPERLINK("https://creighton-primo.hosted.exlibrisgroup.com/primo-explore/search?tab=default_tab&amp;search_scope=EVERYTHING&amp;vid=01CRU&amp;lang=en_US&amp;offset=0&amp;query=any,contains,991000423149702656","Catalog Record")</f>
        <v/>
      </c>
      <c r="AT602">
        <f>HYPERLINK("http://www.worldcat.org/oclc/52387988","WorldCat Record")</f>
        <v/>
      </c>
    </row>
    <row r="603">
      <c r="A603" t="inlineStr">
        <is>
          <t>No</t>
        </is>
      </c>
      <c r="B603" t="inlineStr">
        <is>
          <t>QV 663 W145g 1942</t>
        </is>
      </c>
      <c r="C603" t="inlineStr">
        <is>
          <t>0                      QV 0663000W  145g        1942</t>
        </is>
      </c>
      <c r="D603" t="inlineStr">
        <is>
          <t>Gas warfare : the chemical weapon, its use, and protection against it / by Alden H. Waitt.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Waitt, Alden Harry, 1892-1981.</t>
        </is>
      </c>
      <c r="L603" t="inlineStr">
        <is>
          <t>New York : Duell, Sloan &amp; Pearce, c1943, c1942.</t>
        </is>
      </c>
      <c r="M603" t="inlineStr">
        <is>
          <t>1943</t>
        </is>
      </c>
      <c r="N603" t="inlineStr">
        <is>
          <t>1st ed.</t>
        </is>
      </c>
      <c r="O603" t="inlineStr">
        <is>
          <t>eng</t>
        </is>
      </c>
      <c r="P603" t="inlineStr">
        <is>
          <t>nyu</t>
        </is>
      </c>
      <c r="R603" t="inlineStr">
        <is>
          <t xml:space="preserve">QV </t>
        </is>
      </c>
      <c r="S603" t="n">
        <v>3</v>
      </c>
      <c r="T603" t="n">
        <v>3</v>
      </c>
      <c r="U603" t="inlineStr">
        <is>
          <t>1995-03-21</t>
        </is>
      </c>
      <c r="V603" t="inlineStr">
        <is>
          <t>1995-03-21</t>
        </is>
      </c>
      <c r="W603" t="inlineStr">
        <is>
          <t>1988-02-09</t>
        </is>
      </c>
      <c r="X603" t="inlineStr">
        <is>
          <t>1988-02-09</t>
        </is>
      </c>
      <c r="Y603" t="n">
        <v>216</v>
      </c>
      <c r="Z603" t="n">
        <v>208</v>
      </c>
      <c r="AA603" t="n">
        <v>232</v>
      </c>
      <c r="AB603" t="n">
        <v>3</v>
      </c>
      <c r="AC603" t="n">
        <v>3</v>
      </c>
      <c r="AD603" t="n">
        <v>7</v>
      </c>
      <c r="AE603" t="n">
        <v>7</v>
      </c>
      <c r="AF603" t="n">
        <v>1</v>
      </c>
      <c r="AG603" t="n">
        <v>1</v>
      </c>
      <c r="AH603" t="n">
        <v>0</v>
      </c>
      <c r="AI603" t="n">
        <v>0</v>
      </c>
      <c r="AJ603" t="n">
        <v>5</v>
      </c>
      <c r="AK603" t="n">
        <v>5</v>
      </c>
      <c r="AL603" t="n">
        <v>2</v>
      </c>
      <c r="AM603" t="n">
        <v>2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HYPERLINK("http://catalog.hathitrust.org/Record/001622159","HathiTrust Record")</f>
        <v/>
      </c>
      <c r="AS603">
        <f>HYPERLINK("https://creighton-primo.hosted.exlibrisgroup.com/primo-explore/search?tab=default_tab&amp;search_scope=EVERYTHING&amp;vid=01CRU&amp;lang=en_US&amp;offset=0&amp;query=any,contains,991000963459702656","Catalog Record")</f>
        <v/>
      </c>
      <c r="AT603">
        <f>HYPERLINK("http://www.worldcat.org/oclc/14750447","WorldCat Record")</f>
        <v/>
      </c>
    </row>
    <row r="604">
      <c r="A604" t="inlineStr">
        <is>
          <t>No</t>
        </is>
      </c>
      <c r="B604" t="inlineStr">
        <is>
          <t>QV 704 A641c 1975</t>
        </is>
      </c>
      <c r="C604" t="inlineStr">
        <is>
          <t>0                      QV 0704000A  641c        1975</t>
        </is>
      </c>
      <c r="D604" t="inlineStr">
        <is>
          <t>Clinical pharmacy handbook for patient counseling : one of the pharmacist's principal responsibilities / by Scott E. Apelgren, Brandt Rowles.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Apelgren, Scott E.</t>
        </is>
      </c>
      <c r="L604" t="inlineStr">
        <is>
          <t>Hamilton, Ill. : Drug Intelligence Publications, c1975.</t>
        </is>
      </c>
      <c r="M604" t="inlineStr">
        <is>
          <t>1975</t>
        </is>
      </c>
      <c r="N604" t="inlineStr">
        <is>
          <t>1st ed.</t>
        </is>
      </c>
      <c r="O604" t="inlineStr">
        <is>
          <t>eng</t>
        </is>
      </c>
      <c r="P604" t="inlineStr">
        <is>
          <t>ilu</t>
        </is>
      </c>
      <c r="R604" t="inlineStr">
        <is>
          <t xml:space="preserve">QV </t>
        </is>
      </c>
      <c r="S604" t="n">
        <v>5</v>
      </c>
      <c r="T604" t="n">
        <v>5</v>
      </c>
      <c r="U604" t="inlineStr">
        <is>
          <t>2000-09-03</t>
        </is>
      </c>
      <c r="V604" t="inlineStr">
        <is>
          <t>2000-09-03</t>
        </is>
      </c>
      <c r="W604" t="inlineStr">
        <is>
          <t>1988-03-03</t>
        </is>
      </c>
      <c r="X604" t="inlineStr">
        <is>
          <t>1988-03-03</t>
        </is>
      </c>
      <c r="Y604" t="n">
        <v>58</v>
      </c>
      <c r="Z604" t="n">
        <v>44</v>
      </c>
      <c r="AA604" t="n">
        <v>46</v>
      </c>
      <c r="AB604" t="n">
        <v>1</v>
      </c>
      <c r="AC604" t="n">
        <v>1</v>
      </c>
      <c r="AD604" t="n">
        <v>2</v>
      </c>
      <c r="AE604" t="n">
        <v>2</v>
      </c>
      <c r="AF604" t="n">
        <v>1</v>
      </c>
      <c r="AG604" t="n">
        <v>1</v>
      </c>
      <c r="AH604" t="n">
        <v>2</v>
      </c>
      <c r="AI604" t="n">
        <v>2</v>
      </c>
      <c r="AJ604" t="n">
        <v>0</v>
      </c>
      <c r="AK604" t="n">
        <v>0</v>
      </c>
      <c r="AL604" t="n">
        <v>0</v>
      </c>
      <c r="AM604" t="n">
        <v>0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HYPERLINK("http://catalog.hathitrust.org/Record/000703258","HathiTrust Record")</f>
        <v/>
      </c>
      <c r="AS604">
        <f>HYPERLINK("https://creighton-primo.hosted.exlibrisgroup.com/primo-explore/search?tab=default_tab&amp;search_scope=EVERYTHING&amp;vid=01CRU&amp;lang=en_US&amp;offset=0&amp;query=any,contains,991000963319702656","Catalog Record")</f>
        <v/>
      </c>
      <c r="AT604">
        <f>HYPERLINK("http://www.worldcat.org/oclc/1949951","WorldCat Record")</f>
        <v/>
      </c>
    </row>
    <row r="605">
      <c r="A605" t="inlineStr">
        <is>
          <t>No</t>
        </is>
      </c>
      <c r="B605" t="inlineStr">
        <is>
          <t>QV 704 B649c 1972</t>
        </is>
      </c>
      <c r="C605" t="inlineStr">
        <is>
          <t>0                      QV 0704000B  649c        1972</t>
        </is>
      </c>
      <c r="D605" t="inlineStr">
        <is>
          <t>Clinical pharmacy practice / edited by Charles W. Blissitt, O. Lynn Webb, Walter F. Stanaszek.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Blissitt, Charles W.</t>
        </is>
      </c>
      <c r="L605" t="inlineStr">
        <is>
          <t>Philadelphia : Lea &amp; Febiger, 1972.</t>
        </is>
      </c>
      <c r="M605" t="inlineStr">
        <is>
          <t>1972</t>
        </is>
      </c>
      <c r="O605" t="inlineStr">
        <is>
          <t>eng</t>
        </is>
      </c>
      <c r="P605" t="inlineStr">
        <is>
          <t>pau</t>
        </is>
      </c>
      <c r="R605" t="inlineStr">
        <is>
          <t xml:space="preserve">QV </t>
        </is>
      </c>
      <c r="S605" t="n">
        <v>3</v>
      </c>
      <c r="T605" t="n">
        <v>3</v>
      </c>
      <c r="U605" t="inlineStr">
        <is>
          <t>1996-03-21</t>
        </is>
      </c>
      <c r="V605" t="inlineStr">
        <is>
          <t>1996-03-21</t>
        </is>
      </c>
      <c r="W605" t="inlineStr">
        <is>
          <t>1988-03-21</t>
        </is>
      </c>
      <c r="X605" t="inlineStr">
        <is>
          <t>1988-03-21</t>
        </is>
      </c>
      <c r="Y605" t="n">
        <v>102</v>
      </c>
      <c r="Z605" t="n">
        <v>75</v>
      </c>
      <c r="AA605" t="n">
        <v>77</v>
      </c>
      <c r="AB605" t="n">
        <v>2</v>
      </c>
      <c r="AC605" t="n">
        <v>2</v>
      </c>
      <c r="AD605" t="n">
        <v>3</v>
      </c>
      <c r="AE605" t="n">
        <v>3</v>
      </c>
      <c r="AF605" t="n">
        <v>2</v>
      </c>
      <c r="AG605" t="n">
        <v>2</v>
      </c>
      <c r="AH605" t="n">
        <v>0</v>
      </c>
      <c r="AI605" t="n">
        <v>0</v>
      </c>
      <c r="AJ605" t="n">
        <v>0</v>
      </c>
      <c r="AK605" t="n">
        <v>0</v>
      </c>
      <c r="AL605" t="n">
        <v>1</v>
      </c>
      <c r="AM605" t="n">
        <v>1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HYPERLINK("http://catalog.hathitrust.org/Record/001573776","HathiTrust Record")</f>
        <v/>
      </c>
      <c r="AS605">
        <f>HYPERLINK("https://creighton-primo.hosted.exlibrisgroup.com/primo-explore/search?tab=default_tab&amp;search_scope=EVERYTHING&amp;vid=01CRU&amp;lang=en_US&amp;offset=0&amp;query=any,contains,991000964089702656","Catalog Record")</f>
        <v/>
      </c>
      <c r="AT605">
        <f>HYPERLINK("http://www.worldcat.org/oclc/413012","WorldCat Record")</f>
        <v/>
      </c>
    </row>
    <row r="606">
      <c r="A606" t="inlineStr">
        <is>
          <t>No</t>
        </is>
      </c>
      <c r="B606" t="inlineStr">
        <is>
          <t>QV 704 C641 1984</t>
        </is>
      </c>
      <c r="C606" t="inlineStr">
        <is>
          <t>0                      QV 0704000C  641         1984</t>
        </is>
      </c>
      <c r="D606" t="inlineStr">
        <is>
          <t>Clinical pharmacology / edited by Ronald H. Girdwood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L606" t="inlineStr">
        <is>
          <t>London : Baillière Tindall, c1984.</t>
        </is>
      </c>
      <c r="M606" t="inlineStr">
        <is>
          <t>1984</t>
        </is>
      </c>
      <c r="N606" t="inlineStr">
        <is>
          <t>25th ed.</t>
        </is>
      </c>
      <c r="O606" t="inlineStr">
        <is>
          <t>eng</t>
        </is>
      </c>
      <c r="P606" t="inlineStr">
        <is>
          <t>enk</t>
        </is>
      </c>
      <c r="R606" t="inlineStr">
        <is>
          <t xml:space="preserve">QV </t>
        </is>
      </c>
      <c r="S606" t="n">
        <v>15</v>
      </c>
      <c r="T606" t="n">
        <v>15</v>
      </c>
      <c r="U606" t="inlineStr">
        <is>
          <t>1998-10-20</t>
        </is>
      </c>
      <c r="V606" t="inlineStr">
        <is>
          <t>1998-10-20</t>
        </is>
      </c>
      <c r="W606" t="inlineStr">
        <is>
          <t>1988-02-09</t>
        </is>
      </c>
      <c r="X606" t="inlineStr">
        <is>
          <t>1988-02-09</t>
        </is>
      </c>
      <c r="Y606" t="n">
        <v>118</v>
      </c>
      <c r="Z606" t="n">
        <v>56</v>
      </c>
      <c r="AA606" t="n">
        <v>86</v>
      </c>
      <c r="AB606" t="n">
        <v>1</v>
      </c>
      <c r="AC606" t="n">
        <v>2</v>
      </c>
      <c r="AD606" t="n">
        <v>0</v>
      </c>
      <c r="AE606" t="n">
        <v>2</v>
      </c>
      <c r="AF606" t="n">
        <v>0</v>
      </c>
      <c r="AG606" t="n">
        <v>0</v>
      </c>
      <c r="AH606" t="n">
        <v>0</v>
      </c>
      <c r="AI606" t="n">
        <v>0</v>
      </c>
      <c r="AJ606" t="n">
        <v>0</v>
      </c>
      <c r="AK606" t="n">
        <v>1</v>
      </c>
      <c r="AL606" t="n">
        <v>0</v>
      </c>
      <c r="AM606" t="n">
        <v>1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HYPERLINK("http://catalog.hathitrust.org/Record/000652729","HathiTrust Record")</f>
        <v/>
      </c>
      <c r="AS606">
        <f>HYPERLINK("https://creighton-primo.hosted.exlibrisgroup.com/primo-explore/search?tab=default_tab&amp;search_scope=EVERYTHING&amp;vid=01CRU&amp;lang=en_US&amp;offset=0&amp;query=any,contains,991000963879702656","Catalog Record")</f>
        <v/>
      </c>
      <c r="AT606">
        <f>HYPERLINK("http://www.worldcat.org/oclc/11497453","WorldCat Record")</f>
        <v/>
      </c>
    </row>
    <row r="607">
      <c r="A607" t="inlineStr">
        <is>
          <t>No</t>
        </is>
      </c>
      <c r="B607" t="inlineStr">
        <is>
          <t>QV 704 I59 1981t</t>
        </is>
      </c>
      <c r="C607" t="inlineStr">
        <is>
          <t>0                      QV 0704000I  59          1981t</t>
        </is>
      </c>
      <c r="D607" t="inlineStr">
        <is>
          <t>Topics in pharmaceutical sciences : proceedings of the 41st International Congress of Pharmaceutical Sciences of F.I.P., held in Vienna, Austria, September 7-11, 1981 / editors, D.D. Breimer, P. Speiser.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International Congress of Pharmaceutical Sciences (41st : 1981 : Vienna, Austria)</t>
        </is>
      </c>
      <c r="L607" t="inlineStr">
        <is>
          <t>Amsterdam ; New York : Elsevier/North-Holland Biomedical Press, 1981.</t>
        </is>
      </c>
      <c r="M607" t="inlineStr">
        <is>
          <t>1981</t>
        </is>
      </c>
      <c r="O607" t="inlineStr">
        <is>
          <t>eng</t>
        </is>
      </c>
      <c r="P607" t="inlineStr">
        <is>
          <t xml:space="preserve">ne </t>
        </is>
      </c>
      <c r="R607" t="inlineStr">
        <is>
          <t xml:space="preserve">QV </t>
        </is>
      </c>
      <c r="S607" t="n">
        <v>3</v>
      </c>
      <c r="T607" t="n">
        <v>3</v>
      </c>
      <c r="U607" t="inlineStr">
        <is>
          <t>1996-03-21</t>
        </is>
      </c>
      <c r="V607" t="inlineStr">
        <is>
          <t>1996-03-21</t>
        </is>
      </c>
      <c r="W607" t="inlineStr">
        <is>
          <t>1988-02-09</t>
        </is>
      </c>
      <c r="X607" t="inlineStr">
        <is>
          <t>1988-02-09</t>
        </is>
      </c>
      <c r="Y607" t="n">
        <v>83</v>
      </c>
      <c r="Z607" t="n">
        <v>51</v>
      </c>
      <c r="AA607" t="n">
        <v>52</v>
      </c>
      <c r="AB607" t="n">
        <v>2</v>
      </c>
      <c r="AC607" t="n">
        <v>2</v>
      </c>
      <c r="AD607" t="n">
        <v>2</v>
      </c>
      <c r="AE607" t="n">
        <v>2</v>
      </c>
      <c r="AF607" t="n">
        <v>1</v>
      </c>
      <c r="AG607" t="n">
        <v>1</v>
      </c>
      <c r="AH607" t="n">
        <v>0</v>
      </c>
      <c r="AI607" t="n">
        <v>0</v>
      </c>
      <c r="AJ607" t="n">
        <v>0</v>
      </c>
      <c r="AK607" t="n">
        <v>0</v>
      </c>
      <c r="AL607" t="n">
        <v>1</v>
      </c>
      <c r="AM607" t="n">
        <v>1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HYPERLINK("http://catalog.hathitrust.org/Record/009863485","HathiTrust Record")</f>
        <v/>
      </c>
      <c r="AS607">
        <f>HYPERLINK("https://creighton-primo.hosted.exlibrisgroup.com/primo-explore/search?tab=default_tab&amp;search_scope=EVERYTHING&amp;vid=01CRU&amp;lang=en_US&amp;offset=0&amp;query=any,contains,991000963839702656","Catalog Record")</f>
        <v/>
      </c>
      <c r="AT607">
        <f>HYPERLINK("http://www.worldcat.org/oclc/8032101","WorldCat Record")</f>
        <v/>
      </c>
    </row>
    <row r="608">
      <c r="A608" t="inlineStr">
        <is>
          <t>No</t>
        </is>
      </c>
      <c r="B608" t="inlineStr">
        <is>
          <t>QV 704 J52c 1966</t>
        </is>
      </c>
      <c r="C608" t="inlineStr">
        <is>
          <t>0                      QV 0704000J  52c         1966</t>
        </is>
      </c>
      <c r="D608" t="inlineStr">
        <is>
          <t>Clinical pharmacy : a text for dispensing pharmacy / Glenn L. Jenkins, Glen J. Sperandio, Clifton J. Latiolais.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Jenkins, Glenn L. (Glenn Llewellyn), 1898-1979.</t>
        </is>
      </c>
      <c r="L608" t="inlineStr">
        <is>
          <t>New York : McGraw-Hill, 1966.</t>
        </is>
      </c>
      <c r="M608" t="inlineStr">
        <is>
          <t>1966</t>
        </is>
      </c>
      <c r="O608" t="inlineStr">
        <is>
          <t>eng</t>
        </is>
      </c>
      <c r="P608" t="inlineStr">
        <is>
          <t xml:space="preserve">xx </t>
        </is>
      </c>
      <c r="R608" t="inlineStr">
        <is>
          <t xml:space="preserve">QV </t>
        </is>
      </c>
      <c r="S608" t="n">
        <v>8</v>
      </c>
      <c r="T608" t="n">
        <v>8</v>
      </c>
      <c r="U608" t="inlineStr">
        <is>
          <t>1991-11-14</t>
        </is>
      </c>
      <c r="V608" t="inlineStr">
        <is>
          <t>1991-11-14</t>
        </is>
      </c>
      <c r="W608" t="inlineStr">
        <is>
          <t>1988-03-21</t>
        </is>
      </c>
      <c r="X608" t="inlineStr">
        <is>
          <t>1988-03-21</t>
        </is>
      </c>
      <c r="Y608" t="n">
        <v>72</v>
      </c>
      <c r="Z608" t="n">
        <v>42</v>
      </c>
      <c r="AA608" t="n">
        <v>56</v>
      </c>
      <c r="AB608" t="n">
        <v>2</v>
      </c>
      <c r="AC608" t="n">
        <v>2</v>
      </c>
      <c r="AD608" t="n">
        <v>4</v>
      </c>
      <c r="AE608" t="n">
        <v>4</v>
      </c>
      <c r="AF608" t="n">
        <v>2</v>
      </c>
      <c r="AG608" t="n">
        <v>2</v>
      </c>
      <c r="AH608" t="n">
        <v>1</v>
      </c>
      <c r="AI608" t="n">
        <v>1</v>
      </c>
      <c r="AJ608" t="n">
        <v>0</v>
      </c>
      <c r="AK608" t="n">
        <v>0</v>
      </c>
      <c r="AL608" t="n">
        <v>1</v>
      </c>
      <c r="AM608" t="n">
        <v>1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HYPERLINK("http://catalog.hathitrust.org/Record/001573624","HathiTrust Record")</f>
        <v/>
      </c>
      <c r="AS608">
        <f>HYPERLINK("https://creighton-primo.hosted.exlibrisgroup.com/primo-explore/search?tab=default_tab&amp;search_scope=EVERYTHING&amp;vid=01CRU&amp;lang=en_US&amp;offset=0&amp;query=any,contains,991000963799702656","Catalog Record")</f>
        <v/>
      </c>
      <c r="AT608">
        <f>HYPERLINK("http://www.worldcat.org/oclc/756773","WorldCat Record")</f>
        <v/>
      </c>
    </row>
    <row r="609">
      <c r="A609" t="inlineStr">
        <is>
          <t>No</t>
        </is>
      </c>
      <c r="B609" t="inlineStr">
        <is>
          <t>QV 704 L985p 1949</t>
        </is>
      </c>
      <c r="C609" t="inlineStr">
        <is>
          <t>0                      QV 0704000L  985p        1949</t>
        </is>
      </c>
      <c r="D609" t="inlineStr">
        <is>
          <t>Textbook of pharmaceutical compounding and dispensing / edited by Rufus A. Lyman and Joseph B. Sprowls.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Lyman, Rufus Ashley, 1875-1957.</t>
        </is>
      </c>
      <c r="L609" t="inlineStr">
        <is>
          <t>Philadelphia : Lippincott, c1955.</t>
        </is>
      </c>
      <c r="M609" t="inlineStr">
        <is>
          <t>1955</t>
        </is>
      </c>
      <c r="N609" t="inlineStr">
        <is>
          <t>2d ed.</t>
        </is>
      </c>
      <c r="O609" t="inlineStr">
        <is>
          <t>eng</t>
        </is>
      </c>
      <c r="P609" t="inlineStr">
        <is>
          <t>pau</t>
        </is>
      </c>
      <c r="R609" t="inlineStr">
        <is>
          <t xml:space="preserve">QV </t>
        </is>
      </c>
      <c r="S609" t="n">
        <v>13</v>
      </c>
      <c r="T609" t="n">
        <v>13</v>
      </c>
      <c r="U609" t="inlineStr">
        <is>
          <t>2000-12-06</t>
        </is>
      </c>
      <c r="V609" t="inlineStr">
        <is>
          <t>2000-12-06</t>
        </is>
      </c>
      <c r="W609" t="inlineStr">
        <is>
          <t>1989-03-23</t>
        </is>
      </c>
      <c r="X609" t="inlineStr">
        <is>
          <t>1989-03-23</t>
        </is>
      </c>
      <c r="Y609" t="n">
        <v>70</v>
      </c>
      <c r="Z609" t="n">
        <v>46</v>
      </c>
      <c r="AA609" t="n">
        <v>48</v>
      </c>
      <c r="AB609" t="n">
        <v>1</v>
      </c>
      <c r="AC609" t="n">
        <v>1</v>
      </c>
      <c r="AD609" t="n">
        <v>3</v>
      </c>
      <c r="AE609" t="n">
        <v>3</v>
      </c>
      <c r="AF609" t="n">
        <v>2</v>
      </c>
      <c r="AG609" t="n">
        <v>2</v>
      </c>
      <c r="AH609" t="n">
        <v>2</v>
      </c>
      <c r="AI609" t="n">
        <v>2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inlineStr">
        <is>
          <t>No</t>
        </is>
      </c>
      <c r="AQ609" t="inlineStr">
        <is>
          <t>No</t>
        </is>
      </c>
      <c r="AR609">
        <f>HYPERLINK("http://catalog.hathitrust.org/Record/001573927","HathiTrust Record")</f>
        <v/>
      </c>
      <c r="AS609">
        <f>HYPERLINK("https://creighton-primo.hosted.exlibrisgroup.com/primo-explore/search?tab=default_tab&amp;search_scope=EVERYTHING&amp;vid=01CRU&amp;lang=en_US&amp;offset=0&amp;query=any,contains,991000963699702656","Catalog Record")</f>
        <v/>
      </c>
      <c r="AT609">
        <f>HYPERLINK("http://www.worldcat.org/oclc/2414081","WorldCat Record")</f>
        <v/>
      </c>
    </row>
    <row r="610">
      <c r="A610" t="inlineStr">
        <is>
          <t>No</t>
        </is>
      </c>
      <c r="B610" t="inlineStr">
        <is>
          <t>QV 704 M293 1972</t>
        </is>
      </c>
      <c r="C610" t="inlineStr">
        <is>
          <t>0                      QV 0704000M  293         1972</t>
        </is>
      </c>
      <c r="D610" t="inlineStr">
        <is>
          <t>Manual for pharmacy technicians / Jane M. Durgin, Charles O. Ward, Zachary I. Hanan.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L610" t="inlineStr">
        <is>
          <t>-- St. Louis : Mosby, 1972.</t>
        </is>
      </c>
      <c r="M610" t="inlineStr">
        <is>
          <t>1972</t>
        </is>
      </c>
      <c r="O610" t="inlineStr">
        <is>
          <t>eng</t>
        </is>
      </c>
      <c r="P610" t="inlineStr">
        <is>
          <t>mou</t>
        </is>
      </c>
      <c r="R610" t="inlineStr">
        <is>
          <t xml:space="preserve">QV </t>
        </is>
      </c>
      <c r="S610" t="n">
        <v>10</v>
      </c>
      <c r="T610" t="n">
        <v>10</v>
      </c>
      <c r="U610" t="inlineStr">
        <is>
          <t>2001-09-26</t>
        </is>
      </c>
      <c r="V610" t="inlineStr">
        <is>
          <t>2001-09-26</t>
        </is>
      </c>
      <c r="W610" t="inlineStr">
        <is>
          <t>1988-02-09</t>
        </is>
      </c>
      <c r="X610" t="inlineStr">
        <is>
          <t>1988-02-09</t>
        </is>
      </c>
      <c r="Y610" t="n">
        <v>74</v>
      </c>
      <c r="Z610" t="n">
        <v>52</v>
      </c>
      <c r="AA610" t="n">
        <v>54</v>
      </c>
      <c r="AB610" t="n">
        <v>2</v>
      </c>
      <c r="AC610" t="n">
        <v>2</v>
      </c>
      <c r="AD610" t="n">
        <v>2</v>
      </c>
      <c r="AE610" t="n">
        <v>2</v>
      </c>
      <c r="AF610" t="n">
        <v>1</v>
      </c>
      <c r="AG610" t="n">
        <v>1</v>
      </c>
      <c r="AH610" t="n">
        <v>0</v>
      </c>
      <c r="AI610" t="n">
        <v>0</v>
      </c>
      <c r="AJ610" t="n">
        <v>0</v>
      </c>
      <c r="AK610" t="n">
        <v>0</v>
      </c>
      <c r="AL610" t="n">
        <v>1</v>
      </c>
      <c r="AM610" t="n">
        <v>1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HYPERLINK("http://catalog.hathitrust.org/Record/001573646","HathiTrust Record")</f>
        <v/>
      </c>
      <c r="AS610">
        <f>HYPERLINK("https://creighton-primo.hosted.exlibrisgroup.com/primo-explore/search?tab=default_tab&amp;search_scope=EVERYTHING&amp;vid=01CRU&amp;lang=en_US&amp;offset=0&amp;query=any,contains,991000963649702656","Catalog Record")</f>
        <v/>
      </c>
      <c r="AT610">
        <f>HYPERLINK("http://www.worldcat.org/oclc/487738","WorldCat Record")</f>
        <v/>
      </c>
    </row>
    <row r="611">
      <c r="A611" t="inlineStr">
        <is>
          <t>No</t>
        </is>
      </c>
      <c r="B611" t="inlineStr">
        <is>
          <t>QV 704 P468 1977</t>
        </is>
      </c>
      <c r="C611" t="inlineStr">
        <is>
          <t>0                      QV 0704000P  468         1977</t>
        </is>
      </c>
      <c r="D611" t="inlineStr">
        <is>
          <t>Perspectives on medicines in society / edited by Albert I. Wertheimer, Patricia J Bush.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-- Hamilton, Il. : Drug Intelligence Publications, c1977.</t>
        </is>
      </c>
      <c r="M611" t="inlineStr">
        <is>
          <t>1977</t>
        </is>
      </c>
      <c r="O611" t="inlineStr">
        <is>
          <t>eng</t>
        </is>
      </c>
      <c r="P611" t="inlineStr">
        <is>
          <t>ilu</t>
        </is>
      </c>
      <c r="R611" t="inlineStr">
        <is>
          <t xml:space="preserve">QV </t>
        </is>
      </c>
      <c r="S611" t="n">
        <v>2</v>
      </c>
      <c r="T611" t="n">
        <v>2</v>
      </c>
      <c r="U611" t="inlineStr">
        <is>
          <t>2006-09-22</t>
        </is>
      </c>
      <c r="V611" t="inlineStr">
        <is>
          <t>2006-09-22</t>
        </is>
      </c>
      <c r="W611" t="inlineStr">
        <is>
          <t>1988-02-09</t>
        </is>
      </c>
      <c r="X611" t="inlineStr">
        <is>
          <t>1988-02-09</t>
        </is>
      </c>
      <c r="Y611" t="n">
        <v>127</v>
      </c>
      <c r="Z611" t="n">
        <v>110</v>
      </c>
      <c r="AA611" t="n">
        <v>112</v>
      </c>
      <c r="AB611" t="n">
        <v>1</v>
      </c>
      <c r="AC611" t="n">
        <v>1</v>
      </c>
      <c r="AD611" t="n">
        <v>5</v>
      </c>
      <c r="AE611" t="n">
        <v>5</v>
      </c>
      <c r="AF611" t="n">
        <v>2</v>
      </c>
      <c r="AG611" t="n">
        <v>2</v>
      </c>
      <c r="AH611" t="n">
        <v>1</v>
      </c>
      <c r="AI611" t="n">
        <v>1</v>
      </c>
      <c r="AJ611" t="n">
        <v>2</v>
      </c>
      <c r="AK611" t="n">
        <v>2</v>
      </c>
      <c r="AL611" t="n">
        <v>0</v>
      </c>
      <c r="AM611" t="n">
        <v>0</v>
      </c>
      <c r="AN611" t="n">
        <v>0</v>
      </c>
      <c r="AO611" t="n">
        <v>0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HYPERLINK("http://catalog.hathitrust.org/Record/000762001","HathiTrust Record")</f>
        <v/>
      </c>
      <c r="AS611">
        <f>HYPERLINK("https://creighton-primo.hosted.exlibrisgroup.com/primo-explore/search?tab=default_tab&amp;search_scope=EVERYTHING&amp;vid=01CRU&amp;lang=en_US&amp;offset=0&amp;query=any,contains,991000964259702656","Catalog Record")</f>
        <v/>
      </c>
      <c r="AT611">
        <f>HYPERLINK("http://www.worldcat.org/oclc/3332106","WorldCat Record")</f>
        <v/>
      </c>
    </row>
    <row r="612">
      <c r="A612" t="inlineStr">
        <is>
          <t>No</t>
        </is>
      </c>
      <c r="B612" t="inlineStr">
        <is>
          <t>QV 704 R362d 1972</t>
        </is>
      </c>
      <c r="C612" t="inlineStr">
        <is>
          <t>0                      QV 0704000R  362d        1972</t>
        </is>
      </c>
      <c r="D612" t="inlineStr">
        <is>
          <t>Drug information : literature review of needs, resources, and services / [Prepared] for Pharmacy-Related Programs Branch, National Center for Health Services Research and Development.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Reilly, Mary-Jo, 1964-</t>
        </is>
      </c>
      <c r="L612" t="inlineStr">
        <is>
          <t>-- Rockville, Md. : U.S. Health Services and Mental Health Administration, [1972]</t>
        </is>
      </c>
      <c r="M612" t="inlineStr">
        <is>
          <t>1972</t>
        </is>
      </c>
      <c r="O612" t="inlineStr">
        <is>
          <t>eng</t>
        </is>
      </c>
      <c r="P612" t="inlineStr">
        <is>
          <t>mdu</t>
        </is>
      </c>
      <c r="Q612" t="inlineStr">
        <is>
          <t>DHEW publication ; no. (HSM) 72-3013</t>
        </is>
      </c>
      <c r="R612" t="inlineStr">
        <is>
          <t xml:space="preserve">QV </t>
        </is>
      </c>
      <c r="S612" t="n">
        <v>2</v>
      </c>
      <c r="T612" t="n">
        <v>2</v>
      </c>
      <c r="U612" t="inlineStr">
        <is>
          <t>1996-12-18</t>
        </is>
      </c>
      <c r="V612" t="inlineStr">
        <is>
          <t>1996-12-18</t>
        </is>
      </c>
      <c r="W612" t="inlineStr">
        <is>
          <t>1988-02-09</t>
        </is>
      </c>
      <c r="X612" t="inlineStr">
        <is>
          <t>1988-02-09</t>
        </is>
      </c>
      <c r="Y612" t="n">
        <v>119</v>
      </c>
      <c r="Z612" t="n">
        <v>103</v>
      </c>
      <c r="AA612" t="n">
        <v>112</v>
      </c>
      <c r="AB612" t="n">
        <v>2</v>
      </c>
      <c r="AC612" t="n">
        <v>2</v>
      </c>
      <c r="AD612" t="n">
        <v>5</v>
      </c>
      <c r="AE612" t="n">
        <v>5</v>
      </c>
      <c r="AF612" t="n">
        <v>1</v>
      </c>
      <c r="AG612" t="n">
        <v>1</v>
      </c>
      <c r="AH612" t="n">
        <v>0</v>
      </c>
      <c r="AI612" t="n">
        <v>0</v>
      </c>
      <c r="AJ612" t="n">
        <v>2</v>
      </c>
      <c r="AK612" t="n">
        <v>2</v>
      </c>
      <c r="AL612" t="n">
        <v>1</v>
      </c>
      <c r="AM612" t="n">
        <v>1</v>
      </c>
      <c r="AN612" t="n">
        <v>1</v>
      </c>
      <c r="AO612" t="n">
        <v>1</v>
      </c>
      <c r="AP612" t="inlineStr">
        <is>
          <t>Yes</t>
        </is>
      </c>
      <c r="AQ612" t="inlineStr">
        <is>
          <t>No</t>
        </is>
      </c>
      <c r="AR612">
        <f>HYPERLINK("http://catalog.hathitrust.org/Record/001579292","HathiTrust Record")</f>
        <v/>
      </c>
      <c r="AS612">
        <f>HYPERLINK("https://creighton-primo.hosted.exlibrisgroup.com/primo-explore/search?tab=default_tab&amp;search_scope=EVERYTHING&amp;vid=01CRU&amp;lang=en_US&amp;offset=0&amp;query=any,contains,991000964129702656","Catalog Record")</f>
        <v/>
      </c>
      <c r="AT612">
        <f>HYPERLINK("http://www.worldcat.org/oclc/1499660","WorldCat Record")</f>
        <v/>
      </c>
    </row>
    <row r="613">
      <c r="A613" t="inlineStr">
        <is>
          <t>No</t>
        </is>
      </c>
      <c r="B613" t="inlineStr">
        <is>
          <t>QV 704 R388p 1917</t>
        </is>
      </c>
      <c r="C613" t="inlineStr">
        <is>
          <t>0                      QV 0704000R  388p        1917</t>
        </is>
      </c>
      <c r="D613" t="inlineStr">
        <is>
      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Remington, Joseph P. (Joseph Price), 1847-1918.</t>
        </is>
      </c>
      <c r="L613" t="inlineStr">
        <is>
          <t>Philadelphia ; London : J.B. Lippincott Co., c1917.</t>
        </is>
      </c>
      <c r="M613" t="inlineStr">
        <is>
          <t>1917</t>
        </is>
      </c>
      <c r="N613" t="inlineStr">
        <is>
          <t>6th ed. By Joseph P. Remington ... assisted by E. Fullerton Cook ... with over eight hundred illustrations.</t>
        </is>
      </c>
      <c r="O613" t="inlineStr">
        <is>
          <t>eng</t>
        </is>
      </c>
      <c r="P613" t="inlineStr">
        <is>
          <t xml:space="preserve">xx </t>
        </is>
      </c>
      <c r="R613" t="inlineStr">
        <is>
          <t xml:space="preserve">QV </t>
        </is>
      </c>
      <c r="S613" t="n">
        <v>2</v>
      </c>
      <c r="T613" t="n">
        <v>2</v>
      </c>
      <c r="U613" t="inlineStr">
        <is>
          <t>1988-11-16</t>
        </is>
      </c>
      <c r="V613" t="inlineStr">
        <is>
          <t>1988-11-16</t>
        </is>
      </c>
      <c r="W613" t="inlineStr">
        <is>
          <t>1988-02-09</t>
        </is>
      </c>
      <c r="X613" t="inlineStr">
        <is>
          <t>1988-02-09</t>
        </is>
      </c>
      <c r="Y613" t="n">
        <v>29</v>
      </c>
      <c r="Z613" t="n">
        <v>21</v>
      </c>
      <c r="AA613" t="n">
        <v>76</v>
      </c>
      <c r="AB613" t="n">
        <v>1</v>
      </c>
      <c r="AC613" t="n">
        <v>1</v>
      </c>
      <c r="AD613" t="n">
        <v>0</v>
      </c>
      <c r="AE613" t="n">
        <v>2</v>
      </c>
      <c r="AF613" t="n">
        <v>0</v>
      </c>
      <c r="AG613" t="n">
        <v>2</v>
      </c>
      <c r="AH613" t="n">
        <v>0</v>
      </c>
      <c r="AI613" t="n">
        <v>1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inlineStr">
        <is>
          <t>Yes</t>
        </is>
      </c>
      <c r="AQ613" t="inlineStr">
        <is>
          <t>No</t>
        </is>
      </c>
      <c r="AR613">
        <f>HYPERLINK("http://catalog.hathitrust.org/Record/008905594","HathiTrust Record")</f>
        <v/>
      </c>
      <c r="AS613">
        <f>HYPERLINK("https://creighton-primo.hosted.exlibrisgroup.com/primo-explore/search?tab=default_tab&amp;search_scope=EVERYTHING&amp;vid=01CRU&amp;lang=en_US&amp;offset=0&amp;query=any,contains,991000964219702656","Catalog Record")</f>
        <v/>
      </c>
      <c r="AT613">
        <f>HYPERLINK("http://www.worldcat.org/oclc/3740581","WorldCat Record")</f>
        <v/>
      </c>
    </row>
    <row r="614">
      <c r="A614" t="inlineStr">
        <is>
          <t>No</t>
        </is>
      </c>
      <c r="B614" t="inlineStr">
        <is>
          <t>QV 704 R388p 1985</t>
        </is>
      </c>
      <c r="C614" t="inlineStr">
        <is>
          <t>0                      QV 0704000R  388p        1985</t>
        </is>
      </c>
      <c r="D614" t="inlineStr">
        <is>
          <t>Remington's Pharmaceutical sciences / Alfonso R. Gennaro, editor and chairman of the editorial board.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Yes</t>
        </is>
      </c>
      <c r="J614" t="inlineStr">
        <is>
          <t>0</t>
        </is>
      </c>
      <c r="K614" t="inlineStr">
        <is>
          <t>Remington, Joseph P. (Joseph Price), 1847-1918.</t>
        </is>
      </c>
      <c r="L614" t="inlineStr">
        <is>
          <t>Easton, Pa. : Mack, c1985.</t>
        </is>
      </c>
      <c r="M614" t="inlineStr">
        <is>
          <t>1985</t>
        </is>
      </c>
      <c r="N614" t="inlineStr">
        <is>
          <t>17th ed.</t>
        </is>
      </c>
      <c r="O614" t="inlineStr">
        <is>
          <t>eng</t>
        </is>
      </c>
      <c r="P614" t="inlineStr">
        <is>
          <t>pau</t>
        </is>
      </c>
      <c r="R614" t="inlineStr">
        <is>
          <t xml:space="preserve">QV </t>
        </is>
      </c>
      <c r="S614" t="n">
        <v>92</v>
      </c>
      <c r="T614" t="n">
        <v>92</v>
      </c>
      <c r="U614" t="inlineStr">
        <is>
          <t>2000-07-26</t>
        </is>
      </c>
      <c r="V614" t="inlineStr">
        <is>
          <t>2000-07-26</t>
        </is>
      </c>
      <c r="W614" t="inlineStr">
        <is>
          <t>1987-09-28</t>
        </is>
      </c>
      <c r="X614" t="inlineStr">
        <is>
          <t>1987-09-28</t>
        </is>
      </c>
      <c r="Y614" t="n">
        <v>149</v>
      </c>
      <c r="Z614" t="n">
        <v>105</v>
      </c>
      <c r="AA614" t="n">
        <v>211</v>
      </c>
      <c r="AB614" t="n">
        <v>3</v>
      </c>
      <c r="AC614" t="n">
        <v>3</v>
      </c>
      <c r="AD614" t="n">
        <v>1</v>
      </c>
      <c r="AE614" t="n">
        <v>4</v>
      </c>
      <c r="AF614" t="n">
        <v>1</v>
      </c>
      <c r="AG614" t="n">
        <v>3</v>
      </c>
      <c r="AH614" t="n">
        <v>0</v>
      </c>
      <c r="AI614" t="n">
        <v>0</v>
      </c>
      <c r="AJ614" t="n">
        <v>1</v>
      </c>
      <c r="AK614" t="n">
        <v>3</v>
      </c>
      <c r="AL614" t="n">
        <v>0</v>
      </c>
      <c r="AM614" t="n">
        <v>0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HYPERLINK("https://creighton-primo.hosted.exlibrisgroup.com/primo-explore/search?tab=default_tab&amp;search_scope=EVERYTHING&amp;vid=01CRU&amp;lang=en_US&amp;offset=0&amp;query=any,contains,991000748089702656","Catalog Record")</f>
        <v/>
      </c>
      <c r="AT614">
        <f>HYPERLINK("http://www.worldcat.org/oclc/12015935","WorldCat Record")</f>
        <v/>
      </c>
    </row>
    <row r="615">
      <c r="A615" t="inlineStr">
        <is>
          <t>No</t>
        </is>
      </c>
      <c r="B615" t="inlineStr">
        <is>
          <t>QV 704 R388p 1990</t>
        </is>
      </c>
      <c r="C615" t="inlineStr">
        <is>
          <t>0                      QV 0704000R  388p        1990</t>
        </is>
      </c>
      <c r="D615" t="inlineStr">
        <is>
          <t>Remington's pharmaceutical sciences / Alfonso Rl Gennaro, editor and chairman of the editorial board.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Yes</t>
        </is>
      </c>
      <c r="J615" t="inlineStr">
        <is>
          <t>0</t>
        </is>
      </c>
      <c r="K615" t="inlineStr">
        <is>
          <t>Remington, Joseph P. (Joseph Price), 1847-1918.</t>
        </is>
      </c>
      <c r="L615" t="inlineStr">
        <is>
          <t>Easton, Pa. : Mack Publishing Co. c1990.</t>
        </is>
      </c>
      <c r="M615" t="inlineStr">
        <is>
          <t>1990</t>
        </is>
      </c>
      <c r="N615" t="inlineStr">
        <is>
          <t>18th ed.</t>
        </is>
      </c>
      <c r="O615" t="inlineStr">
        <is>
          <t>eng</t>
        </is>
      </c>
      <c r="P615" t="inlineStr">
        <is>
          <t>pau</t>
        </is>
      </c>
      <c r="R615" t="inlineStr">
        <is>
          <t xml:space="preserve">QV </t>
        </is>
      </c>
      <c r="S615" t="n">
        <v>158</v>
      </c>
      <c r="T615" t="n">
        <v>158</v>
      </c>
      <c r="U615" t="inlineStr">
        <is>
          <t>2002-10-27</t>
        </is>
      </c>
      <c r="V615" t="inlineStr">
        <is>
          <t>2002-10-27</t>
        </is>
      </c>
      <c r="W615" t="inlineStr">
        <is>
          <t>1990-08-07</t>
        </is>
      </c>
      <c r="X615" t="inlineStr">
        <is>
          <t>1990-08-07</t>
        </is>
      </c>
      <c r="Y615" t="n">
        <v>143</v>
      </c>
      <c r="Z615" t="n">
        <v>90</v>
      </c>
      <c r="AA615" t="n">
        <v>211</v>
      </c>
      <c r="AB615" t="n">
        <v>1</v>
      </c>
      <c r="AC615" t="n">
        <v>3</v>
      </c>
      <c r="AD615" t="n">
        <v>0</v>
      </c>
      <c r="AE615" t="n">
        <v>4</v>
      </c>
      <c r="AF615" t="n">
        <v>0</v>
      </c>
      <c r="AG615" t="n">
        <v>3</v>
      </c>
      <c r="AH615" t="n">
        <v>0</v>
      </c>
      <c r="AI615" t="n">
        <v>0</v>
      </c>
      <c r="AJ615" t="n">
        <v>0</v>
      </c>
      <c r="AK615" t="n">
        <v>3</v>
      </c>
      <c r="AL615" t="n">
        <v>0</v>
      </c>
      <c r="AM615" t="n">
        <v>0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HYPERLINK("https://creighton-primo.hosted.exlibrisgroup.com/primo-explore/search?tab=default_tab&amp;search_scope=EVERYTHING&amp;vid=01CRU&amp;lang=en_US&amp;offset=0&amp;query=any,contains,991000501259702656","Catalog Record")</f>
        <v/>
      </c>
      <c r="AT615">
        <f>HYPERLINK("http://www.worldcat.org/oclc/24381485","WorldCat Record")</f>
        <v/>
      </c>
    </row>
    <row r="616">
      <c r="A616" t="inlineStr">
        <is>
          <t>No</t>
        </is>
      </c>
      <c r="B616" t="inlineStr">
        <is>
          <t>QV 704 S771p 1963</t>
        </is>
      </c>
      <c r="C616" t="inlineStr">
        <is>
          <t>0                      QV 0704000S  771p        1963</t>
        </is>
      </c>
      <c r="D616" t="inlineStr">
        <is>
          <t>Prescription pharmacy : dosage formulation and pharmaceutical adjuncts.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Sprowls, Joseph Barnett, editor.</t>
        </is>
      </c>
      <c r="L616" t="inlineStr">
        <is>
          <t>Philadelphia : Lippincott, c1963.</t>
        </is>
      </c>
      <c r="M616" t="inlineStr">
        <is>
          <t>1963</t>
        </is>
      </c>
      <c r="O616" t="inlineStr">
        <is>
          <t>eng</t>
        </is>
      </c>
      <c r="P616" t="inlineStr">
        <is>
          <t xml:space="preserve">xx </t>
        </is>
      </c>
      <c r="R616" t="inlineStr">
        <is>
          <t xml:space="preserve">QV </t>
        </is>
      </c>
      <c r="S616" t="n">
        <v>10</v>
      </c>
      <c r="T616" t="n">
        <v>10</v>
      </c>
      <c r="U616" t="inlineStr">
        <is>
          <t>1991-11-14</t>
        </is>
      </c>
      <c r="V616" t="inlineStr">
        <is>
          <t>1991-11-14</t>
        </is>
      </c>
      <c r="W616" t="inlineStr">
        <is>
          <t>1988-03-21</t>
        </is>
      </c>
      <c r="X616" t="inlineStr">
        <is>
          <t>1988-03-21</t>
        </is>
      </c>
      <c r="Y616" t="n">
        <v>82</v>
      </c>
      <c r="Z616" t="n">
        <v>48</v>
      </c>
      <c r="AA616" t="n">
        <v>95</v>
      </c>
      <c r="AB616" t="n">
        <v>2</v>
      </c>
      <c r="AC616" t="n">
        <v>2</v>
      </c>
      <c r="AD616" t="n">
        <v>3</v>
      </c>
      <c r="AE616" t="n">
        <v>5</v>
      </c>
      <c r="AF616" t="n">
        <v>1</v>
      </c>
      <c r="AG616" t="n">
        <v>3</v>
      </c>
      <c r="AH616" t="n">
        <v>2</v>
      </c>
      <c r="AI616" t="n">
        <v>2</v>
      </c>
      <c r="AJ616" t="n">
        <v>0</v>
      </c>
      <c r="AK616" t="n">
        <v>0</v>
      </c>
      <c r="AL616" t="n">
        <v>1</v>
      </c>
      <c r="AM616" t="n">
        <v>1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R616">
        <f>HYPERLINK("http://catalog.hathitrust.org/Record/001573639","HathiTrust Record")</f>
        <v/>
      </c>
      <c r="AS616">
        <f>HYPERLINK("https://creighton-primo.hosted.exlibrisgroup.com/primo-explore/search?tab=default_tab&amp;search_scope=EVERYTHING&amp;vid=01CRU&amp;lang=en_US&amp;offset=0&amp;query=any,contains,991000964959702656","Catalog Record")</f>
        <v/>
      </c>
      <c r="AT616">
        <f>HYPERLINK("http://www.worldcat.org/oclc/1620783","WorldCat Record")</f>
        <v/>
      </c>
    </row>
    <row r="617">
      <c r="A617" t="inlineStr">
        <is>
          <t>No</t>
        </is>
      </c>
      <c r="B617" t="inlineStr">
        <is>
          <t>QV 704 W499p 1974</t>
        </is>
      </c>
      <c r="C617" t="inlineStr">
        <is>
          <t>0                      QV 0704000W  499p        1974</t>
        </is>
      </c>
      <c r="D617" t="inlineStr">
        <is>
          <t>Pharmacy practice : social and behavioral aspects / edited, with introductions, by Albert I. Wertheimer and Mickey C. Smith.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Wertheimer, Albert I., compiler.</t>
        </is>
      </c>
      <c r="L617" t="inlineStr">
        <is>
          <t>Baltimore : University Park Press, 1974.</t>
        </is>
      </c>
      <c r="M617" t="inlineStr">
        <is>
          <t>1974</t>
        </is>
      </c>
      <c r="O617" t="inlineStr">
        <is>
          <t>eng</t>
        </is>
      </c>
      <c r="P617" t="inlineStr">
        <is>
          <t>mdu</t>
        </is>
      </c>
      <c r="R617" t="inlineStr">
        <is>
          <t xml:space="preserve">QV </t>
        </is>
      </c>
      <c r="S617" t="n">
        <v>7</v>
      </c>
      <c r="T617" t="n">
        <v>7</v>
      </c>
      <c r="U617" t="inlineStr">
        <is>
          <t>2006-09-22</t>
        </is>
      </c>
      <c r="V617" t="inlineStr">
        <is>
          <t>2006-09-22</t>
        </is>
      </c>
      <c r="W617" t="inlineStr">
        <is>
          <t>1988-03-22</t>
        </is>
      </c>
      <c r="X617" t="inlineStr">
        <is>
          <t>1988-03-22</t>
        </is>
      </c>
      <c r="Y617" t="n">
        <v>132</v>
      </c>
      <c r="Z617" t="n">
        <v>102</v>
      </c>
      <c r="AA617" t="n">
        <v>151</v>
      </c>
      <c r="AB617" t="n">
        <v>1</v>
      </c>
      <c r="AC617" t="n">
        <v>1</v>
      </c>
      <c r="AD617" t="n">
        <v>3</v>
      </c>
      <c r="AE617" t="n">
        <v>5</v>
      </c>
      <c r="AF617" t="n">
        <v>2</v>
      </c>
      <c r="AG617" t="n">
        <v>4</v>
      </c>
      <c r="AH617" t="n">
        <v>1</v>
      </c>
      <c r="AI617" t="n">
        <v>1</v>
      </c>
      <c r="AJ617" t="n">
        <v>0</v>
      </c>
      <c r="AK617" t="n">
        <v>1</v>
      </c>
      <c r="AL617" t="n">
        <v>0</v>
      </c>
      <c r="AM617" t="n">
        <v>0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HYPERLINK("http://catalog.hathitrust.org/Record/002075378","HathiTrust Record")</f>
        <v/>
      </c>
      <c r="AS617">
        <f>HYPERLINK("https://creighton-primo.hosted.exlibrisgroup.com/primo-explore/search?tab=default_tab&amp;search_scope=EVERYTHING&amp;vid=01CRU&amp;lang=en_US&amp;offset=0&amp;query=any,contains,991000964879702656","Catalog Record")</f>
        <v/>
      </c>
      <c r="AT617">
        <f>HYPERLINK("http://www.worldcat.org/oclc/1046087","WorldCat Record")</f>
        <v/>
      </c>
    </row>
    <row r="618">
      <c r="A618" t="inlineStr">
        <is>
          <t>No</t>
        </is>
      </c>
      <c r="B618" t="inlineStr">
        <is>
          <t>QV 704.3 T367p 1979</t>
        </is>
      </c>
      <c r="C618" t="inlineStr">
        <is>
          <t>0                      QV 0704300T  367p        1979</t>
        </is>
      </c>
      <c r="D618" t="inlineStr">
        <is>
          <t>Pharmacy management for students and practitioners / C. Patrick Tharp, Pedro J. Lecca.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Tharp, C. Patrick (Charles Patrick), 1939-</t>
        </is>
      </c>
      <c r="L618" t="inlineStr">
        <is>
          <t>Saint Louis : Mosby, 1979.</t>
        </is>
      </c>
      <c r="M618" t="inlineStr">
        <is>
          <t>1979</t>
        </is>
      </c>
      <c r="N618" t="inlineStr">
        <is>
          <t>-- 2d ed. --</t>
        </is>
      </c>
      <c r="O618" t="inlineStr">
        <is>
          <t>eng</t>
        </is>
      </c>
      <c r="P618" t="inlineStr">
        <is>
          <t>mou</t>
        </is>
      </c>
      <c r="R618" t="inlineStr">
        <is>
          <t xml:space="preserve">QV </t>
        </is>
      </c>
      <c r="S618" t="n">
        <v>6</v>
      </c>
      <c r="T618" t="n">
        <v>6</v>
      </c>
      <c r="U618" t="inlineStr">
        <is>
          <t>1990-11-29</t>
        </is>
      </c>
      <c r="V618" t="inlineStr">
        <is>
          <t>1990-11-29</t>
        </is>
      </c>
      <c r="W618" t="inlineStr">
        <is>
          <t>1988-02-09</t>
        </is>
      </c>
      <c r="X618" t="inlineStr">
        <is>
          <t>1988-02-09</t>
        </is>
      </c>
      <c r="Y618" t="n">
        <v>59</v>
      </c>
      <c r="Z618" t="n">
        <v>42</v>
      </c>
      <c r="AA618" t="n">
        <v>69</v>
      </c>
      <c r="AB618" t="n">
        <v>2</v>
      </c>
      <c r="AC618" t="n">
        <v>2</v>
      </c>
      <c r="AD618" t="n">
        <v>2</v>
      </c>
      <c r="AE618" t="n">
        <v>4</v>
      </c>
      <c r="AF618" t="n">
        <v>0</v>
      </c>
      <c r="AG618" t="n">
        <v>1</v>
      </c>
      <c r="AH618" t="n">
        <v>1</v>
      </c>
      <c r="AI618" t="n">
        <v>2</v>
      </c>
      <c r="AJ618" t="n">
        <v>0</v>
      </c>
      <c r="AK618" t="n">
        <v>0</v>
      </c>
      <c r="AL618" t="n">
        <v>1</v>
      </c>
      <c r="AM618" t="n">
        <v>1</v>
      </c>
      <c r="AN618" t="n">
        <v>0</v>
      </c>
      <c r="AO618" t="n">
        <v>0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HYPERLINK("http://catalog.hathitrust.org/Record/000716431","HathiTrust Record")</f>
        <v/>
      </c>
      <c r="AS618">
        <f>HYPERLINK("https://creighton-primo.hosted.exlibrisgroup.com/primo-explore/search?tab=default_tab&amp;search_scope=EVERYTHING&amp;vid=01CRU&amp;lang=en_US&amp;offset=0&amp;query=any,contains,991000964919702656","Catalog Record")</f>
        <v/>
      </c>
      <c r="AT618">
        <f>HYPERLINK("http://www.worldcat.org/oclc/4775095","WorldCat Record")</f>
        <v/>
      </c>
    </row>
    <row r="619">
      <c r="A619" t="inlineStr">
        <is>
          <t>No</t>
        </is>
      </c>
      <c r="B619" t="inlineStr">
        <is>
          <t>QV 709 P467 1984</t>
        </is>
      </c>
      <c r="C619" t="inlineStr">
        <is>
          <t>0                      QV 0709000P  467         1984</t>
        </is>
      </c>
      <c r="D619" t="inlineStr">
        <is>
          <t>Perspectives in pharmacy : a series of addresses given at the University of Minnesota, College of Pharmacy, 1983-1984 / edited by Albert I. Wertheimer and Noreen L. Suntrup.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Minneapolis, Minn. : College of Pharmacy, University of Minnesota, [1984?]</t>
        </is>
      </c>
      <c r="M619" t="inlineStr">
        <is>
          <t>1984</t>
        </is>
      </c>
      <c r="O619" t="inlineStr">
        <is>
          <t>eng</t>
        </is>
      </c>
      <c r="P619" t="inlineStr">
        <is>
          <t>mnu</t>
        </is>
      </c>
      <c r="R619" t="inlineStr">
        <is>
          <t xml:space="preserve">QV </t>
        </is>
      </c>
      <c r="S619" t="n">
        <v>2</v>
      </c>
      <c r="T619" t="n">
        <v>2</v>
      </c>
      <c r="U619" t="inlineStr">
        <is>
          <t>1995-01-24</t>
        </is>
      </c>
      <c r="V619" t="inlineStr">
        <is>
          <t>1995-01-24</t>
        </is>
      </c>
      <c r="W619" t="inlineStr">
        <is>
          <t>1988-02-09</t>
        </is>
      </c>
      <c r="X619" t="inlineStr">
        <is>
          <t>1988-02-09</t>
        </is>
      </c>
      <c r="Y619" t="n">
        <v>6</v>
      </c>
      <c r="Z619" t="n">
        <v>6</v>
      </c>
      <c r="AA619" t="n">
        <v>6</v>
      </c>
      <c r="AB619" t="n">
        <v>1</v>
      </c>
      <c r="AC619" t="n">
        <v>1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0</v>
      </c>
      <c r="AM619" t="n">
        <v>0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HYPERLINK("https://creighton-primo.hosted.exlibrisgroup.com/primo-explore/search?tab=default_tab&amp;search_scope=EVERYTHING&amp;vid=01CRU&amp;lang=en_US&amp;offset=0&amp;query=any,contains,991000964819702656","Catalog Record")</f>
        <v/>
      </c>
      <c r="AT619">
        <f>HYPERLINK("http://www.worldcat.org/oclc/11644085","WorldCat Record")</f>
        <v/>
      </c>
    </row>
    <row r="620">
      <c r="A620" t="inlineStr">
        <is>
          <t>No</t>
        </is>
      </c>
      <c r="B620" t="inlineStr">
        <is>
          <t>QV 711 AA1 A6s 1995</t>
        </is>
      </c>
      <c r="C620" t="inlineStr">
        <is>
          <t>0                      QV 0711000AA 1                  A  6s          1995</t>
        </is>
      </c>
      <c r="D620" t="inlineStr">
        <is>
          <t>The spirit of voluntarism : a legacy of commitment and contribution : the United States pharmacopeia 1820-1995 / by Lee Anderson and Gregory J. Higby.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Anderson, Lee.</t>
        </is>
      </c>
      <c r="L620" t="inlineStr">
        <is>
          <t>Rockville, Md. : United States Pharmacopeial Convention, c1995.</t>
        </is>
      </c>
      <c r="M620" t="inlineStr">
        <is>
          <t>1995</t>
        </is>
      </c>
      <c r="O620" t="inlineStr">
        <is>
          <t>eng</t>
        </is>
      </c>
      <c r="P620" t="inlineStr">
        <is>
          <t>xxu</t>
        </is>
      </c>
      <c r="R620" t="inlineStr">
        <is>
          <t xml:space="preserve">QV </t>
        </is>
      </c>
      <c r="S620" t="n">
        <v>1</v>
      </c>
      <c r="T620" t="n">
        <v>1</v>
      </c>
      <c r="U620" t="inlineStr">
        <is>
          <t>1996-06-07</t>
        </is>
      </c>
      <c r="V620" t="inlineStr">
        <is>
          <t>1996-06-07</t>
        </is>
      </c>
      <c r="W620" t="inlineStr">
        <is>
          <t>1996-03-20</t>
        </is>
      </c>
      <c r="X620" t="inlineStr">
        <is>
          <t>1996-03-20</t>
        </is>
      </c>
      <c r="Y620" t="n">
        <v>65</v>
      </c>
      <c r="Z620" t="n">
        <v>58</v>
      </c>
      <c r="AA620" t="n">
        <v>60</v>
      </c>
      <c r="AB620" t="n">
        <v>1</v>
      </c>
      <c r="AC620" t="n">
        <v>1</v>
      </c>
      <c r="AD620" t="n">
        <v>2</v>
      </c>
      <c r="AE620" t="n">
        <v>2</v>
      </c>
      <c r="AF620" t="n">
        <v>1</v>
      </c>
      <c r="AG620" t="n">
        <v>1</v>
      </c>
      <c r="AH620" t="n">
        <v>0</v>
      </c>
      <c r="AI620" t="n">
        <v>0</v>
      </c>
      <c r="AJ620" t="n">
        <v>2</v>
      </c>
      <c r="AK620" t="n">
        <v>2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HYPERLINK("http://catalog.hathitrust.org/Record/003097626","HathiTrust Record")</f>
        <v/>
      </c>
      <c r="AS620">
        <f>HYPERLINK("https://creighton-primo.hosted.exlibrisgroup.com/primo-explore/search?tab=default_tab&amp;search_scope=EVERYTHING&amp;vid=01CRU&amp;lang=en_US&amp;offset=0&amp;query=any,contains,991001505299702656","Catalog Record")</f>
        <v/>
      </c>
      <c r="AT620">
        <f>HYPERLINK("http://www.worldcat.org/oclc/32281553","WorldCat Record")</f>
        <v/>
      </c>
    </row>
    <row r="621">
      <c r="A621" t="inlineStr">
        <is>
          <t>No</t>
        </is>
      </c>
      <c r="B621" t="inlineStr">
        <is>
          <t>QV 711 AA1 C911p 1989</t>
        </is>
      </c>
      <c r="C621" t="inlineStr">
        <is>
          <t>0                      QV 0711000AA 1                  C  911p        1989</t>
        </is>
      </c>
      <c r="D621" t="inlineStr">
        <is>
          <t>The Pharmaceutical Manufacturers Association : the first 30 years / by William C. Cray.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Cray, William C.</t>
        </is>
      </c>
      <c r="L621" t="inlineStr">
        <is>
          <t>Washington, D.C. : Pharmaceutical Manufacturers Association, [1989].</t>
        </is>
      </c>
      <c r="M621" t="inlineStr">
        <is>
          <t>1989</t>
        </is>
      </c>
      <c r="O621" t="inlineStr">
        <is>
          <t>eng</t>
        </is>
      </c>
      <c r="P621" t="inlineStr">
        <is>
          <t>dcu</t>
        </is>
      </c>
      <c r="R621" t="inlineStr">
        <is>
          <t xml:space="preserve">QV </t>
        </is>
      </c>
      <c r="S621" t="n">
        <v>3</v>
      </c>
      <c r="T621" t="n">
        <v>3</v>
      </c>
      <c r="U621" t="inlineStr">
        <is>
          <t>1990-01-20</t>
        </is>
      </c>
      <c r="V621" t="inlineStr">
        <is>
          <t>1990-01-20</t>
        </is>
      </c>
      <c r="W621" t="inlineStr">
        <is>
          <t>1990-01-20</t>
        </is>
      </c>
      <c r="X621" t="inlineStr">
        <is>
          <t>1990-01-20</t>
        </is>
      </c>
      <c r="Y621" t="n">
        <v>35</v>
      </c>
      <c r="Z621" t="n">
        <v>35</v>
      </c>
      <c r="AA621" t="n">
        <v>37</v>
      </c>
      <c r="AB621" t="n">
        <v>1</v>
      </c>
      <c r="AC621" t="n">
        <v>1</v>
      </c>
      <c r="AD621" t="n">
        <v>2</v>
      </c>
      <c r="AE621" t="n">
        <v>2</v>
      </c>
      <c r="AF621" t="n">
        <v>0</v>
      </c>
      <c r="AG621" t="n">
        <v>0</v>
      </c>
      <c r="AH621" t="n">
        <v>1</v>
      </c>
      <c r="AI621" t="n">
        <v>1</v>
      </c>
      <c r="AJ621" t="n">
        <v>1</v>
      </c>
      <c r="AK621" t="n">
        <v>1</v>
      </c>
      <c r="AL621" t="n">
        <v>0</v>
      </c>
      <c r="AM621" t="n">
        <v>0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HYPERLINK("http://catalog.hathitrust.org/Record/002720264","HathiTrust Record")</f>
        <v/>
      </c>
      <c r="AS621">
        <f>HYPERLINK("https://creighton-primo.hosted.exlibrisgroup.com/primo-explore/search?tab=default_tab&amp;search_scope=EVERYTHING&amp;vid=01CRU&amp;lang=en_US&amp;offset=0&amp;query=any,contains,991001386279702656","Catalog Record")</f>
        <v/>
      </c>
      <c r="AT621">
        <f>HYPERLINK("http://www.worldcat.org/oclc/28345418","WorldCat Record")</f>
        <v/>
      </c>
    </row>
    <row r="622">
      <c r="A622" t="inlineStr">
        <is>
          <t>No</t>
        </is>
      </c>
      <c r="B622" t="inlineStr">
        <is>
          <t>QV 711 AA1 K56s 1987</t>
        </is>
      </c>
      <c r="C622" t="inlineStr">
        <is>
          <t>0                      QV 0711000AA 1                  K  56s         1987</t>
        </is>
      </c>
      <c r="D622" t="inlineStr">
        <is>
          <t>A selection of primary sources for the history of pharmacy in the United States : books and trade catalogs from the colonial period to 1940 / by Nydia M. King.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King, Nydia M.</t>
        </is>
      </c>
      <c r="L622" t="inlineStr">
        <is>
          <t>Madison, Wis. : American Institute of the History of Pharmacy, 1987, c1985.</t>
        </is>
      </c>
      <c r="M622" t="inlineStr">
        <is>
          <t>1987</t>
        </is>
      </c>
      <c r="O622" t="inlineStr">
        <is>
          <t>eng</t>
        </is>
      </c>
      <c r="P622" t="inlineStr">
        <is>
          <t>wiu</t>
        </is>
      </c>
      <c r="Q622" t="inlineStr">
        <is>
          <t>Fischelis publication on recent history and trends of pharmacy ; 2nd</t>
        </is>
      </c>
      <c r="R622" t="inlineStr">
        <is>
          <t xml:space="preserve">QV </t>
        </is>
      </c>
      <c r="S622" t="n">
        <v>4</v>
      </c>
      <c r="T622" t="n">
        <v>4</v>
      </c>
      <c r="U622" t="inlineStr">
        <is>
          <t>2005-10-28</t>
        </is>
      </c>
      <c r="V622" t="inlineStr">
        <is>
          <t>2005-10-28</t>
        </is>
      </c>
      <c r="W622" t="inlineStr">
        <is>
          <t>1990-10-23</t>
        </is>
      </c>
      <c r="X622" t="inlineStr">
        <is>
          <t>1990-10-23</t>
        </is>
      </c>
      <c r="Y622" t="n">
        <v>150</v>
      </c>
      <c r="Z622" t="n">
        <v>119</v>
      </c>
      <c r="AA622" t="n">
        <v>130</v>
      </c>
      <c r="AB622" t="n">
        <v>1</v>
      </c>
      <c r="AC622" t="n">
        <v>2</v>
      </c>
      <c r="AD622" t="n">
        <v>6</v>
      </c>
      <c r="AE622" t="n">
        <v>8</v>
      </c>
      <c r="AF622" t="n">
        <v>3</v>
      </c>
      <c r="AG622" t="n">
        <v>3</v>
      </c>
      <c r="AH622" t="n">
        <v>1</v>
      </c>
      <c r="AI622" t="n">
        <v>2</v>
      </c>
      <c r="AJ622" t="n">
        <v>2</v>
      </c>
      <c r="AK622" t="n">
        <v>2</v>
      </c>
      <c r="AL622" t="n">
        <v>0</v>
      </c>
      <c r="AM622" t="n">
        <v>1</v>
      </c>
      <c r="AN622" t="n">
        <v>0</v>
      </c>
      <c r="AO622" t="n">
        <v>0</v>
      </c>
      <c r="AP622" t="inlineStr">
        <is>
          <t>Yes</t>
        </is>
      </c>
      <c r="AQ622" t="inlineStr">
        <is>
          <t>No</t>
        </is>
      </c>
      <c r="AR622">
        <f>HYPERLINK("http://catalog.hathitrust.org/Record/000830593","HathiTrust Record")</f>
        <v/>
      </c>
      <c r="AS622">
        <f>HYPERLINK("https://creighton-primo.hosted.exlibrisgroup.com/primo-explore/search?tab=default_tab&amp;search_scope=EVERYTHING&amp;vid=01CRU&amp;lang=en_US&amp;offset=0&amp;query=any,contains,991000770429702656","Catalog Record")</f>
        <v/>
      </c>
      <c r="AT622">
        <f>HYPERLINK("http://www.worldcat.org/oclc/23148183","WorldCat Record")</f>
        <v/>
      </c>
    </row>
    <row r="623">
      <c r="A623" t="inlineStr">
        <is>
          <t>No</t>
        </is>
      </c>
      <c r="B623" t="inlineStr">
        <is>
          <t>QV 711 AA1 L716m 1987</t>
        </is>
      </c>
      <c r="C623" t="inlineStr">
        <is>
          <t>0                      QV 0711000AA 1                  L  716m        1987</t>
        </is>
      </c>
      <c r="D623" t="inlineStr">
        <is>
          <t>Medical science and medical industry : the formation of the American pharmaceutical industry / Jonathan Liebenau.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Liebenau, Jonathan.</t>
        </is>
      </c>
      <c r="L623" t="inlineStr">
        <is>
          <t>Baltimore : Johns Hopkins University Press, c1987.</t>
        </is>
      </c>
      <c r="M623" t="inlineStr">
        <is>
          <t>1987</t>
        </is>
      </c>
      <c r="O623" t="inlineStr">
        <is>
          <t>eng</t>
        </is>
      </c>
      <c r="P623" t="inlineStr">
        <is>
          <t>xxu</t>
        </is>
      </c>
      <c r="R623" t="inlineStr">
        <is>
          <t xml:space="preserve">QV </t>
        </is>
      </c>
      <c r="S623" t="n">
        <v>1</v>
      </c>
      <c r="T623" t="n">
        <v>1</v>
      </c>
      <c r="U623" t="inlineStr">
        <is>
          <t>2002-01-06</t>
        </is>
      </c>
      <c r="V623" t="inlineStr">
        <is>
          <t>2002-01-06</t>
        </is>
      </c>
      <c r="W623" t="inlineStr">
        <is>
          <t>1988-04-26</t>
        </is>
      </c>
      <c r="X623" t="inlineStr">
        <is>
          <t>1988-04-26</t>
        </is>
      </c>
      <c r="Y623" t="n">
        <v>346</v>
      </c>
      <c r="Z623" t="n">
        <v>313</v>
      </c>
      <c r="AA623" t="n">
        <v>351</v>
      </c>
      <c r="AB623" t="n">
        <v>2</v>
      </c>
      <c r="AC623" t="n">
        <v>3</v>
      </c>
      <c r="AD623" t="n">
        <v>17</v>
      </c>
      <c r="AE623" t="n">
        <v>19</v>
      </c>
      <c r="AF623" t="n">
        <v>3</v>
      </c>
      <c r="AG623" t="n">
        <v>4</v>
      </c>
      <c r="AH623" t="n">
        <v>5</v>
      </c>
      <c r="AI623" t="n">
        <v>5</v>
      </c>
      <c r="AJ623" t="n">
        <v>10</v>
      </c>
      <c r="AK623" t="n">
        <v>11</v>
      </c>
      <c r="AL623" t="n">
        <v>1</v>
      </c>
      <c r="AM623" t="n">
        <v>2</v>
      </c>
      <c r="AN623" t="n">
        <v>1</v>
      </c>
      <c r="AO623" t="n">
        <v>1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HYPERLINK("http://catalog.hathitrust.org/Record/000847110","HathiTrust Record")</f>
        <v/>
      </c>
      <c r="AS623">
        <f>HYPERLINK("https://creighton-primo.hosted.exlibrisgroup.com/primo-explore/search?tab=default_tab&amp;search_scope=EVERYTHING&amp;vid=01CRU&amp;lang=en_US&amp;offset=0&amp;query=any,contains,991001187249702656","Catalog Record")</f>
        <v/>
      </c>
      <c r="AT623">
        <f>HYPERLINK("http://www.worldcat.org/oclc/15017472","WorldCat Record")</f>
        <v/>
      </c>
    </row>
    <row r="624">
      <c r="A624" t="inlineStr">
        <is>
          <t>No</t>
        </is>
      </c>
      <c r="B624" t="inlineStr">
        <is>
          <t>QV 711 F471 1931</t>
        </is>
      </c>
      <c r="C624" t="inlineStr">
        <is>
          <t>0                      QV 0711000F  471         1931</t>
        </is>
      </c>
      <c r="D624" t="inlineStr">
        <is>
          <t>Fighting disease with drugs : the story of pharmacy : a symposium / edited by John C. Krantz, jr. ; with an introduction by James H. Beal.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Baltimore : The Williams &amp; Wilkins company, c1931.</t>
        </is>
      </c>
      <c r="M624" t="inlineStr">
        <is>
          <t>1931</t>
        </is>
      </c>
      <c r="O624" t="inlineStr">
        <is>
          <t>eng</t>
        </is>
      </c>
      <c r="P624" t="inlineStr">
        <is>
          <t>|||</t>
        </is>
      </c>
      <c r="R624" t="inlineStr">
        <is>
          <t xml:space="preserve">QV </t>
        </is>
      </c>
      <c r="S624" t="n">
        <v>5</v>
      </c>
      <c r="T624" t="n">
        <v>5</v>
      </c>
      <c r="U624" t="inlineStr">
        <is>
          <t>2007-03-20</t>
        </is>
      </c>
      <c r="V624" t="inlineStr">
        <is>
          <t>2007-03-20</t>
        </is>
      </c>
      <c r="W624" t="inlineStr">
        <is>
          <t>1988-02-09</t>
        </is>
      </c>
      <c r="X624" t="inlineStr">
        <is>
          <t>1988-02-09</t>
        </is>
      </c>
      <c r="Y624" t="n">
        <v>190</v>
      </c>
      <c r="Z624" t="n">
        <v>180</v>
      </c>
      <c r="AA624" t="n">
        <v>185</v>
      </c>
      <c r="AB624" t="n">
        <v>1</v>
      </c>
      <c r="AC624" t="n">
        <v>1</v>
      </c>
      <c r="AD624" t="n">
        <v>4</v>
      </c>
      <c r="AE624" t="n">
        <v>4</v>
      </c>
      <c r="AF624" t="n">
        <v>2</v>
      </c>
      <c r="AG624" t="n">
        <v>2</v>
      </c>
      <c r="AH624" t="n">
        <v>2</v>
      </c>
      <c r="AI624" t="n">
        <v>2</v>
      </c>
      <c r="AJ624" t="n">
        <v>1</v>
      </c>
      <c r="AK624" t="n">
        <v>1</v>
      </c>
      <c r="AL624" t="n">
        <v>0</v>
      </c>
      <c r="AM624" t="n">
        <v>0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HYPERLINK("http://catalog.hathitrust.org/Record/001573506","HathiTrust Record")</f>
        <v/>
      </c>
      <c r="AS624">
        <f>HYPERLINK("https://creighton-primo.hosted.exlibrisgroup.com/primo-explore/search?tab=default_tab&amp;search_scope=EVERYTHING&amp;vid=01CRU&amp;lang=en_US&amp;offset=0&amp;query=any,contains,991000964739702656","Catalog Record")</f>
        <v/>
      </c>
      <c r="AT624">
        <f>HYPERLINK("http://www.worldcat.org/oclc/917999","WorldCat Record")</f>
        <v/>
      </c>
    </row>
    <row r="625">
      <c r="A625" t="inlineStr">
        <is>
          <t>No</t>
        </is>
      </c>
      <c r="B625" t="inlineStr">
        <is>
          <t>QV 711 FA1 T7p 1964</t>
        </is>
      </c>
      <c r="C625" t="inlineStr">
        <is>
          <t>0                      QV 0711000FA 1                  T  7p          1964</t>
        </is>
      </c>
      <c r="D625" t="inlineStr">
        <is>
          <t>Pharmacy in history.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Trease, George Edward, 1902-1986.</t>
        </is>
      </c>
      <c r="L625" t="inlineStr">
        <is>
          <t>London : Baillière, Tindall and Cox, [1964]</t>
        </is>
      </c>
      <c r="M625" t="inlineStr">
        <is>
          <t>1964</t>
        </is>
      </c>
      <c r="O625" t="inlineStr">
        <is>
          <t>eng</t>
        </is>
      </c>
      <c r="P625" t="inlineStr">
        <is>
          <t xml:space="preserve">xx </t>
        </is>
      </c>
      <c r="R625" t="inlineStr">
        <is>
          <t xml:space="preserve">QV </t>
        </is>
      </c>
      <c r="S625" t="n">
        <v>11</v>
      </c>
      <c r="T625" t="n">
        <v>11</v>
      </c>
      <c r="U625" t="inlineStr">
        <is>
          <t>2007-02-20</t>
        </is>
      </c>
      <c r="V625" t="inlineStr">
        <is>
          <t>2007-02-20</t>
        </is>
      </c>
      <c r="W625" t="inlineStr">
        <is>
          <t>1988-03-22</t>
        </is>
      </c>
      <c r="X625" t="inlineStr">
        <is>
          <t>1988-03-22</t>
        </is>
      </c>
      <c r="Y625" t="n">
        <v>228</v>
      </c>
      <c r="Z625" t="n">
        <v>134</v>
      </c>
      <c r="AA625" t="n">
        <v>136</v>
      </c>
      <c r="AB625" t="n">
        <v>3</v>
      </c>
      <c r="AC625" t="n">
        <v>3</v>
      </c>
      <c r="AD625" t="n">
        <v>8</v>
      </c>
      <c r="AE625" t="n">
        <v>8</v>
      </c>
      <c r="AF625" t="n">
        <v>3</v>
      </c>
      <c r="AG625" t="n">
        <v>3</v>
      </c>
      <c r="AH625" t="n">
        <v>1</v>
      </c>
      <c r="AI625" t="n">
        <v>1</v>
      </c>
      <c r="AJ625" t="n">
        <v>3</v>
      </c>
      <c r="AK625" t="n">
        <v>3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HYPERLINK("http://catalog.hathitrust.org/Record/001579342","HathiTrust Record")</f>
        <v/>
      </c>
      <c r="AS625">
        <f>HYPERLINK("https://creighton-primo.hosted.exlibrisgroup.com/primo-explore/search?tab=default_tab&amp;search_scope=EVERYTHING&amp;vid=01CRU&amp;lang=en_US&amp;offset=0&amp;query=any,contains,991000964699702656","Catalog Record")</f>
        <v/>
      </c>
      <c r="AT625">
        <f>HYPERLINK("http://www.worldcat.org/oclc/14618668","WorldCat Record")</f>
        <v/>
      </c>
    </row>
    <row r="626">
      <c r="A626" t="inlineStr">
        <is>
          <t>No</t>
        </is>
      </c>
      <c r="B626" t="inlineStr">
        <is>
          <t>QV 711 R281c 1973</t>
        </is>
      </c>
      <c r="C626" t="inlineStr">
        <is>
          <t>0                      QV 0711000R  281c        1973</t>
        </is>
      </c>
      <c r="D626" t="inlineStr">
        <is>
          <t>Circa instans / C.B. Rea and J. Rea.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Rea, C. B.</t>
        </is>
      </c>
      <c r="M626" t="inlineStr">
        <is>
          <t>1973</t>
        </is>
      </c>
      <c r="O626" t="inlineStr">
        <is>
          <t>eng</t>
        </is>
      </c>
      <c r="P626" t="inlineStr">
        <is>
          <t>txu</t>
        </is>
      </c>
      <c r="R626" t="inlineStr">
        <is>
          <t xml:space="preserve">QV </t>
        </is>
      </c>
      <c r="S626" t="n">
        <v>5</v>
      </c>
      <c r="T626" t="n">
        <v>5</v>
      </c>
      <c r="U626" t="inlineStr">
        <is>
          <t>2002-12-19</t>
        </is>
      </c>
      <c r="V626" t="inlineStr">
        <is>
          <t>2002-12-19</t>
        </is>
      </c>
      <c r="W626" t="inlineStr">
        <is>
          <t>1988-02-09</t>
        </is>
      </c>
      <c r="X626" t="inlineStr">
        <is>
          <t>1988-02-09</t>
        </is>
      </c>
      <c r="Y626" t="n">
        <v>123</v>
      </c>
      <c r="Z626" t="n">
        <v>116</v>
      </c>
      <c r="AA626" t="n">
        <v>118</v>
      </c>
      <c r="AB626" t="n">
        <v>1</v>
      </c>
      <c r="AC626" t="n">
        <v>1</v>
      </c>
      <c r="AD626" t="n">
        <v>2</v>
      </c>
      <c r="AE626" t="n">
        <v>2</v>
      </c>
      <c r="AF626" t="n">
        <v>1</v>
      </c>
      <c r="AG626" t="n">
        <v>1</v>
      </c>
      <c r="AH626" t="n">
        <v>1</v>
      </c>
      <c r="AI626" t="n">
        <v>1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HYPERLINK("http://catalog.hathitrust.org/Record/000145105","HathiTrust Record")</f>
        <v/>
      </c>
      <c r="AS626">
        <f>HYPERLINK("https://creighton-primo.hosted.exlibrisgroup.com/primo-explore/search?tab=default_tab&amp;search_scope=EVERYTHING&amp;vid=01CRU&amp;lang=en_US&amp;offset=0&amp;query=any,contains,991000964519702656","Catalog Record")</f>
        <v/>
      </c>
      <c r="AT626">
        <f>HYPERLINK("http://www.worldcat.org/oclc/794102","WorldCat Record")</f>
        <v/>
      </c>
    </row>
    <row r="627">
      <c r="A627" t="inlineStr">
        <is>
          <t>No</t>
        </is>
      </c>
      <c r="B627" t="inlineStr">
        <is>
          <t>QV 711 S587m 1941</t>
        </is>
      </c>
      <c r="C627" t="inlineStr">
        <is>
          <t>0                      QV 0711000S  587m        1941</t>
        </is>
      </c>
      <c r="D627" t="inlineStr">
        <is>
          <t>Magic in a bottle / by Milton Silverman.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Silverman, Milton, 1910-1997.</t>
        </is>
      </c>
      <c r="L627" t="inlineStr">
        <is>
          <t>New York : The Macmillan Company, 1941.</t>
        </is>
      </c>
      <c r="M627" t="inlineStr">
        <is>
          <t>1941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QV </t>
        </is>
      </c>
      <c r="S627" t="n">
        <v>1</v>
      </c>
      <c r="T627" t="n">
        <v>1</v>
      </c>
      <c r="U627" t="inlineStr">
        <is>
          <t>2003-01-28</t>
        </is>
      </c>
      <c r="V627" t="inlineStr">
        <is>
          <t>2003-01-28</t>
        </is>
      </c>
      <c r="W627" t="inlineStr">
        <is>
          <t>1988-03-22</t>
        </is>
      </c>
      <c r="X627" t="inlineStr">
        <is>
          <t>1988-03-22</t>
        </is>
      </c>
      <c r="Y627" t="n">
        <v>325</v>
      </c>
      <c r="Z627" t="n">
        <v>310</v>
      </c>
      <c r="AA627" t="n">
        <v>554</v>
      </c>
      <c r="AB627" t="n">
        <v>4</v>
      </c>
      <c r="AC627" t="n">
        <v>7</v>
      </c>
      <c r="AD627" t="n">
        <v>13</v>
      </c>
      <c r="AE627" t="n">
        <v>24</v>
      </c>
      <c r="AF627" t="n">
        <v>5</v>
      </c>
      <c r="AG627" t="n">
        <v>9</v>
      </c>
      <c r="AH627" t="n">
        <v>3</v>
      </c>
      <c r="AI627" t="n">
        <v>3</v>
      </c>
      <c r="AJ627" t="n">
        <v>7</v>
      </c>
      <c r="AK627" t="n">
        <v>12</v>
      </c>
      <c r="AL627" t="n">
        <v>3</v>
      </c>
      <c r="AM627" t="n">
        <v>6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HYPERLINK("http://catalog.hathitrust.org/Record/001573558","HathiTrust Record")</f>
        <v/>
      </c>
      <c r="AS627">
        <f>HYPERLINK("https://creighton-primo.hosted.exlibrisgroup.com/primo-explore/search?tab=default_tab&amp;search_scope=EVERYTHING&amp;vid=01CRU&amp;lang=en_US&amp;offset=0&amp;query=any,contains,991000964449702656","Catalog Record")</f>
        <v/>
      </c>
      <c r="AT627">
        <f>HYPERLINK("http://www.worldcat.org/oclc/992904","WorldCat Record")</f>
        <v/>
      </c>
    </row>
    <row r="628">
      <c r="A628" t="inlineStr">
        <is>
          <t>No</t>
        </is>
      </c>
      <c r="B628" t="inlineStr">
        <is>
          <t>QV 711.1 I61 1940</t>
        </is>
      </c>
      <c r="C628" t="inlineStr">
        <is>
          <t>0                      QV 0711100I  61          1940</t>
        </is>
      </c>
      <c r="D628" t="inlineStr">
        <is>
          <t>Introductory essays on the history of pharmacy / selected and arranged by John Joseph Corcoran.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Minneapolis, Minn. : Burgess Publishing Co., 1940.</t>
        </is>
      </c>
      <c r="M628" t="inlineStr">
        <is>
          <t>1940</t>
        </is>
      </c>
      <c r="N628" t="inlineStr">
        <is>
          <t>1st ed.</t>
        </is>
      </c>
      <c r="O628" t="inlineStr">
        <is>
          <t>eng</t>
        </is>
      </c>
      <c r="P628" t="inlineStr">
        <is>
          <t>mnu</t>
        </is>
      </c>
      <c r="R628" t="inlineStr">
        <is>
          <t xml:space="preserve">QV </t>
        </is>
      </c>
      <c r="S628" t="n">
        <v>2</v>
      </c>
      <c r="T628" t="n">
        <v>2</v>
      </c>
      <c r="U628" t="inlineStr">
        <is>
          <t>2005-10-28</t>
        </is>
      </c>
      <c r="V628" t="inlineStr">
        <is>
          <t>2005-10-28</t>
        </is>
      </c>
      <c r="W628" t="inlineStr">
        <is>
          <t>1988-02-09</t>
        </is>
      </c>
      <c r="X628" t="inlineStr">
        <is>
          <t>1988-02-09</t>
        </is>
      </c>
      <c r="Y628" t="n">
        <v>33</v>
      </c>
      <c r="Z628" t="n">
        <v>30</v>
      </c>
      <c r="AA628" t="n">
        <v>32</v>
      </c>
      <c r="AB628" t="n">
        <v>1</v>
      </c>
      <c r="AC628" t="n">
        <v>1</v>
      </c>
      <c r="AD628" t="n">
        <v>1</v>
      </c>
      <c r="AE628" t="n">
        <v>1</v>
      </c>
      <c r="AF628" t="n">
        <v>0</v>
      </c>
      <c r="AG628" t="n">
        <v>0</v>
      </c>
      <c r="AH628" t="n">
        <v>1</v>
      </c>
      <c r="AI628" t="n">
        <v>1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HYPERLINK("http://catalog.hathitrust.org/Record/001573545","HathiTrust Record")</f>
        <v/>
      </c>
      <c r="AS628">
        <f>HYPERLINK("https://creighton-primo.hosted.exlibrisgroup.com/primo-explore/search?tab=default_tab&amp;search_scope=EVERYTHING&amp;vid=01CRU&amp;lang=en_US&amp;offset=0&amp;query=any,contains,991000965269702656","Catalog Record")</f>
        <v/>
      </c>
      <c r="AT628">
        <f>HYPERLINK("http://www.worldcat.org/oclc/5813193","WorldCat Record")</f>
        <v/>
      </c>
    </row>
    <row r="629">
      <c r="A629" t="inlineStr">
        <is>
          <t>No</t>
        </is>
      </c>
      <c r="B629" t="inlineStr">
        <is>
          <t>QV 722 P5789q 1995</t>
        </is>
      </c>
      <c r="C629" t="inlineStr">
        <is>
          <t>0                      QV 0722000P  5789q       1995</t>
        </is>
      </c>
      <c r="D629" t="inlineStr">
        <is>
          <t>1995 Physicians' genRx : the complete drug reference.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Riverside, CT : Denniston Publ. Inc., c1995.</t>
        </is>
      </c>
      <c r="M629" t="inlineStr">
        <is>
          <t>1995</t>
        </is>
      </c>
      <c r="O629" t="inlineStr">
        <is>
          <t>eng</t>
        </is>
      </c>
      <c r="P629" t="inlineStr">
        <is>
          <t>ctu</t>
        </is>
      </c>
      <c r="R629" t="inlineStr">
        <is>
          <t xml:space="preserve">QV </t>
        </is>
      </c>
      <c r="S629" t="n">
        <v>6</v>
      </c>
      <c r="T629" t="n">
        <v>6</v>
      </c>
      <c r="U629" t="inlineStr">
        <is>
          <t>1995-12-12</t>
        </is>
      </c>
      <c r="V629" t="inlineStr">
        <is>
          <t>1995-12-12</t>
        </is>
      </c>
      <c r="W629" t="inlineStr">
        <is>
          <t>1995-01-18</t>
        </is>
      </c>
      <c r="X629" t="inlineStr">
        <is>
          <t>1995-01-18</t>
        </is>
      </c>
      <c r="Y629" t="n">
        <v>21</v>
      </c>
      <c r="Z629" t="n">
        <v>21</v>
      </c>
      <c r="AA629" t="n">
        <v>43</v>
      </c>
      <c r="AB629" t="n">
        <v>1</v>
      </c>
      <c r="AC629" t="n">
        <v>1</v>
      </c>
      <c r="AD629" t="n">
        <v>0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HYPERLINK("https://creighton-primo.hosted.exlibrisgroup.com/primo-explore/search?tab=default_tab&amp;search_scope=EVERYTHING&amp;vid=01CRU&amp;lang=en_US&amp;offset=0&amp;query=any,contains,991001335839702656","Catalog Record")</f>
        <v/>
      </c>
      <c r="AT629">
        <f>HYPERLINK("http://www.worldcat.org/oclc/31733205","WorldCat Record")</f>
        <v/>
      </c>
    </row>
    <row r="630">
      <c r="A630" t="inlineStr">
        <is>
          <t>No</t>
        </is>
      </c>
      <c r="B630" t="inlineStr">
        <is>
          <t>QV 735 C641 1993</t>
        </is>
      </c>
      <c r="C630" t="inlineStr">
        <is>
          <t>0                      QV 0735000C  641         1993</t>
        </is>
      </c>
      <c r="D630" t="inlineStr">
        <is>
          <t>Clinical clerkship manual / edited by Larry E. Boh.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Vancouver, Wash. : Applied Therapeutics, c1993.</t>
        </is>
      </c>
      <c r="M630" t="inlineStr">
        <is>
          <t>1993</t>
        </is>
      </c>
      <c r="O630" t="inlineStr">
        <is>
          <t>eng</t>
        </is>
      </c>
      <c r="P630" t="inlineStr">
        <is>
          <t>xxc</t>
        </is>
      </c>
      <c r="R630" t="inlineStr">
        <is>
          <t xml:space="preserve">QV </t>
        </is>
      </c>
      <c r="S630" t="n">
        <v>23</v>
      </c>
      <c r="T630" t="n">
        <v>23</v>
      </c>
      <c r="U630" t="inlineStr">
        <is>
          <t>2005-10-08</t>
        </is>
      </c>
      <c r="V630" t="inlineStr">
        <is>
          <t>2005-10-08</t>
        </is>
      </c>
      <c r="W630" t="inlineStr">
        <is>
          <t>1993-08-31</t>
        </is>
      </c>
      <c r="X630" t="inlineStr">
        <is>
          <t>1993-08-31</t>
        </is>
      </c>
      <c r="Y630" t="n">
        <v>46</v>
      </c>
      <c r="Z630" t="n">
        <v>38</v>
      </c>
      <c r="AA630" t="n">
        <v>43</v>
      </c>
      <c r="AB630" t="n">
        <v>1</v>
      </c>
      <c r="AC630" t="n">
        <v>1</v>
      </c>
      <c r="AD630" t="n">
        <v>2</v>
      </c>
      <c r="AE630" t="n">
        <v>2</v>
      </c>
      <c r="AF630" t="n">
        <v>2</v>
      </c>
      <c r="AG630" t="n">
        <v>2</v>
      </c>
      <c r="AH630" t="n">
        <v>1</v>
      </c>
      <c r="AI630" t="n">
        <v>1</v>
      </c>
      <c r="AJ630" t="n">
        <v>0</v>
      </c>
      <c r="AK630" t="n">
        <v>0</v>
      </c>
      <c r="AL630" t="n">
        <v>0</v>
      </c>
      <c r="AM630" t="n">
        <v>0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HYPERLINK("https://creighton-primo.hosted.exlibrisgroup.com/primo-explore/search?tab=default_tab&amp;search_scope=EVERYTHING&amp;vid=01CRU&amp;lang=en_US&amp;offset=0&amp;query=any,contains,991001511869702656","Catalog Record")</f>
        <v/>
      </c>
      <c r="AT630">
        <f>HYPERLINK("http://www.worldcat.org/oclc/27097639","WorldCat Record")</f>
        <v/>
      </c>
    </row>
    <row r="631">
      <c r="A631" t="inlineStr">
        <is>
          <t>No</t>
        </is>
      </c>
      <c r="B631" t="inlineStr">
        <is>
          <t>QV 735 P5365 2001</t>
        </is>
      </c>
      <c r="C631" t="inlineStr">
        <is>
          <t>0                      QV 0735000P  5365        2001</t>
        </is>
      </c>
      <c r="D631" t="inlineStr">
        <is>
          <t>Pharmacy practice manual : a guide to the clinical experience / editor, Larry E. Boh, consulting editor, Lloyd Y. Young.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Philadelphia : Lippincott Williams &amp; Wilkins, 2001.</t>
        </is>
      </c>
      <c r="M631" t="inlineStr">
        <is>
          <t>2001</t>
        </is>
      </c>
      <c r="N631" t="inlineStr">
        <is>
          <t>2nd ed.</t>
        </is>
      </c>
      <c r="O631" t="inlineStr">
        <is>
          <t>eng</t>
        </is>
      </c>
      <c r="P631" t="inlineStr">
        <is>
          <t>mdu</t>
        </is>
      </c>
      <c r="R631" t="inlineStr">
        <is>
          <t xml:space="preserve">QV </t>
        </is>
      </c>
      <c r="S631" t="n">
        <v>9</v>
      </c>
      <c r="T631" t="n">
        <v>9</v>
      </c>
      <c r="U631" t="inlineStr">
        <is>
          <t>2009-02-16</t>
        </is>
      </c>
      <c r="V631" t="inlineStr">
        <is>
          <t>2009-02-16</t>
        </is>
      </c>
      <c r="W631" t="inlineStr">
        <is>
          <t>2003-01-10</t>
        </is>
      </c>
      <c r="X631" t="inlineStr">
        <is>
          <t>2003-01-10</t>
        </is>
      </c>
      <c r="Y631" t="n">
        <v>75</v>
      </c>
      <c r="Z631" t="n">
        <v>43</v>
      </c>
      <c r="AA631" t="n">
        <v>48</v>
      </c>
      <c r="AB631" t="n">
        <v>1</v>
      </c>
      <c r="AC631" t="n">
        <v>1</v>
      </c>
      <c r="AD631" t="n">
        <v>4</v>
      </c>
      <c r="AE631" t="n">
        <v>4</v>
      </c>
      <c r="AF631" t="n">
        <v>3</v>
      </c>
      <c r="AG631" t="n">
        <v>3</v>
      </c>
      <c r="AH631" t="n">
        <v>2</v>
      </c>
      <c r="AI631" t="n">
        <v>2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HYPERLINK("https://creighton-primo.hosted.exlibrisgroup.com/primo-explore/search?tab=default_tab&amp;search_scope=EVERYTHING&amp;vid=01CRU&amp;lang=en_US&amp;offset=0&amp;query=any,contains,991000335669702656","Catalog Record")</f>
        <v/>
      </c>
      <c r="AT631">
        <f>HYPERLINK("http://www.worldcat.org/oclc/45420291","WorldCat Record")</f>
        <v/>
      </c>
    </row>
    <row r="632">
      <c r="A632" t="inlineStr">
        <is>
          <t>No</t>
        </is>
      </c>
      <c r="B632" t="inlineStr">
        <is>
          <t>QV 735 S472g 2000</t>
        </is>
      </c>
      <c r="C632" t="inlineStr">
        <is>
          <t>0                      QV 0735000S  472g        2000</t>
        </is>
      </c>
      <c r="D632" t="inlineStr">
        <is>
          <t>Geriatric dosage handbook : including monitoring, clinical recommendations, and OBRA guidelines / Todd P. Selma, Judith L. Beizer, Martin D. Higbee.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Yes</t>
        </is>
      </c>
      <c r="J632" t="inlineStr">
        <is>
          <t>0</t>
        </is>
      </c>
      <c r="K632" t="inlineStr">
        <is>
          <t>Semla, Todd P.</t>
        </is>
      </c>
      <c r="L632" t="inlineStr">
        <is>
          <t>Hudson, OH : Lexi-Comp Inc., c2000.</t>
        </is>
      </c>
      <c r="M632" t="inlineStr">
        <is>
          <t>2000</t>
        </is>
      </c>
      <c r="N632" t="inlineStr">
        <is>
          <t>5th. ed.</t>
        </is>
      </c>
      <c r="O632" t="inlineStr">
        <is>
          <t>eng</t>
        </is>
      </c>
      <c r="P632" t="inlineStr">
        <is>
          <t>ohu</t>
        </is>
      </c>
      <c r="R632" t="inlineStr">
        <is>
          <t xml:space="preserve">QV </t>
        </is>
      </c>
      <c r="S632" t="n">
        <v>44</v>
      </c>
      <c r="T632" t="n">
        <v>44</v>
      </c>
      <c r="U632" t="inlineStr">
        <is>
          <t>2003-01-21</t>
        </is>
      </c>
      <c r="V632" t="inlineStr">
        <is>
          <t>2003-01-21</t>
        </is>
      </c>
      <c r="W632" t="inlineStr">
        <is>
          <t>2000-02-04</t>
        </is>
      </c>
      <c r="X632" t="inlineStr">
        <is>
          <t>2000-02-04</t>
        </is>
      </c>
      <c r="Y632" t="n">
        <v>35</v>
      </c>
      <c r="Z632" t="n">
        <v>29</v>
      </c>
      <c r="AA632" t="n">
        <v>301</v>
      </c>
      <c r="AB632" t="n">
        <v>1</v>
      </c>
      <c r="AC632" t="n">
        <v>2</v>
      </c>
      <c r="AD632" t="n">
        <v>1</v>
      </c>
      <c r="AE632" t="n">
        <v>9</v>
      </c>
      <c r="AF632" t="n">
        <v>0</v>
      </c>
      <c r="AG632" t="n">
        <v>4</v>
      </c>
      <c r="AH632" t="n">
        <v>1</v>
      </c>
      <c r="AI632" t="n">
        <v>3</v>
      </c>
      <c r="AJ632" t="n">
        <v>0</v>
      </c>
      <c r="AK632" t="n">
        <v>2</v>
      </c>
      <c r="AL632" t="n">
        <v>0</v>
      </c>
      <c r="AM632" t="n">
        <v>1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HYPERLINK("http://catalog.hathitrust.org/Record/004064787","HathiTrust Record")</f>
        <v/>
      </c>
      <c r="AS632">
        <f>HYPERLINK("https://creighton-primo.hosted.exlibrisgroup.com/primo-explore/search?tab=default_tab&amp;search_scope=EVERYTHING&amp;vid=01CRU&amp;lang=en_US&amp;offset=0&amp;query=any,contains,991001410399702656","Catalog Record")</f>
        <v/>
      </c>
      <c r="AT632">
        <f>HYPERLINK("http://www.worldcat.org/oclc/43273376","WorldCat Record")</f>
        <v/>
      </c>
    </row>
    <row r="633">
      <c r="A633" t="inlineStr">
        <is>
          <t>No</t>
        </is>
      </c>
      <c r="B633" t="inlineStr">
        <is>
          <t>QV 735 T473p 1998</t>
        </is>
      </c>
      <c r="C633" t="inlineStr">
        <is>
          <t>0                      QV 0735000T  473p        1998</t>
        </is>
      </c>
      <c r="D633" t="inlineStr">
        <is>
          <t>A practical guide to contemporary pharmacy practice / Judith E. Thompson.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Yes</t>
        </is>
      </c>
      <c r="J633" t="inlineStr">
        <is>
          <t>0</t>
        </is>
      </c>
      <c r="K633" t="inlineStr">
        <is>
          <t>Thompson, Judith E.</t>
        </is>
      </c>
      <c r="L633" t="inlineStr">
        <is>
          <t>Baltimore : Williams &amp; Wilkins, c1998.</t>
        </is>
      </c>
      <c r="M633" t="inlineStr">
        <is>
          <t>1998</t>
        </is>
      </c>
      <c r="N633" t="inlineStr">
        <is>
          <t>1st ed.</t>
        </is>
      </c>
      <c r="O633" t="inlineStr">
        <is>
          <t>eng</t>
        </is>
      </c>
      <c r="P633" t="inlineStr">
        <is>
          <t>mdu</t>
        </is>
      </c>
      <c r="R633" t="inlineStr">
        <is>
          <t xml:space="preserve">QV </t>
        </is>
      </c>
      <c r="S633" t="n">
        <v>10</v>
      </c>
      <c r="T633" t="n">
        <v>10</v>
      </c>
      <c r="U633" t="inlineStr">
        <is>
          <t>2006-01-08</t>
        </is>
      </c>
      <c r="V633" t="inlineStr">
        <is>
          <t>2006-01-08</t>
        </is>
      </c>
      <c r="W633" t="inlineStr">
        <is>
          <t>2000-02-18</t>
        </is>
      </c>
      <c r="X633" t="inlineStr">
        <is>
          <t>2000-02-18</t>
        </is>
      </c>
      <c r="Y633" t="n">
        <v>61</v>
      </c>
      <c r="Z633" t="n">
        <v>40</v>
      </c>
      <c r="AA633" t="n">
        <v>142</v>
      </c>
      <c r="AB633" t="n">
        <v>1</v>
      </c>
      <c r="AC633" t="n">
        <v>2</v>
      </c>
      <c r="AD633" t="n">
        <v>2</v>
      </c>
      <c r="AE633" t="n">
        <v>9</v>
      </c>
      <c r="AF633" t="n">
        <v>1</v>
      </c>
      <c r="AG633" t="n">
        <v>5</v>
      </c>
      <c r="AH633" t="n">
        <v>1</v>
      </c>
      <c r="AI633" t="n">
        <v>3</v>
      </c>
      <c r="AJ633" t="n">
        <v>0</v>
      </c>
      <c r="AK633" t="n">
        <v>2</v>
      </c>
      <c r="AL633" t="n">
        <v>0</v>
      </c>
      <c r="AM633" t="n">
        <v>1</v>
      </c>
      <c r="AN633" t="n">
        <v>0</v>
      </c>
      <c r="AO633" t="n">
        <v>0</v>
      </c>
      <c r="AP633" t="inlineStr">
        <is>
          <t>No</t>
        </is>
      </c>
      <c r="AQ633" t="inlineStr">
        <is>
          <t>Yes</t>
        </is>
      </c>
      <c r="AR633">
        <f>HYPERLINK("http://catalog.hathitrust.org/Record/004012994","HathiTrust Record")</f>
        <v/>
      </c>
      <c r="AS633">
        <f>HYPERLINK("https://creighton-primo.hosted.exlibrisgroup.com/primo-explore/search?tab=default_tab&amp;search_scope=EVERYTHING&amp;vid=01CRU&amp;lang=en_US&amp;offset=0&amp;query=any,contains,991001440489702656","Catalog Record")</f>
        <v/>
      </c>
      <c r="AT633">
        <f>HYPERLINK("http://www.worldcat.org/oclc/38562176","WorldCat Record")</f>
        <v/>
      </c>
    </row>
    <row r="634">
      <c r="A634" t="inlineStr">
        <is>
          <t>No</t>
        </is>
      </c>
      <c r="B634" t="inlineStr">
        <is>
          <t>QV 736 B574f 1981</t>
        </is>
      </c>
      <c r="C634" t="inlineStr">
        <is>
          <t>0                      QV 0736000B  574f        1981</t>
        </is>
      </c>
      <c r="D634" t="inlineStr">
        <is>
          <t>The future of pharmaceuticals : the changing environment for the new drugs / Clement Bezold.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Bezold, Clement.</t>
        </is>
      </c>
      <c r="L634" t="inlineStr">
        <is>
          <t>New York : Wiley, c1981.</t>
        </is>
      </c>
      <c r="M634" t="inlineStr">
        <is>
          <t>1981</t>
        </is>
      </c>
      <c r="O634" t="inlineStr">
        <is>
          <t>eng</t>
        </is>
      </c>
      <c r="P634" t="inlineStr">
        <is>
          <t>xxu</t>
        </is>
      </c>
      <c r="R634" t="inlineStr">
        <is>
          <t xml:space="preserve">QV </t>
        </is>
      </c>
      <c r="S634" t="n">
        <v>4</v>
      </c>
      <c r="T634" t="n">
        <v>4</v>
      </c>
      <c r="U634" t="inlineStr">
        <is>
          <t>2007-02-20</t>
        </is>
      </c>
      <c r="V634" t="inlineStr">
        <is>
          <t>2007-02-20</t>
        </is>
      </c>
      <c r="W634" t="inlineStr">
        <is>
          <t>1988-02-09</t>
        </is>
      </c>
      <c r="X634" t="inlineStr">
        <is>
          <t>1988-02-09</t>
        </is>
      </c>
      <c r="Y634" t="n">
        <v>9</v>
      </c>
      <c r="Z634" t="n">
        <v>7</v>
      </c>
      <c r="AA634" t="n">
        <v>188</v>
      </c>
      <c r="AB634" t="n">
        <v>1</v>
      </c>
      <c r="AC634" t="n">
        <v>2</v>
      </c>
      <c r="AD634" t="n">
        <v>0</v>
      </c>
      <c r="AE634" t="n">
        <v>5</v>
      </c>
      <c r="AF634" t="n">
        <v>0</v>
      </c>
      <c r="AG634" t="n">
        <v>2</v>
      </c>
      <c r="AH634" t="n">
        <v>0</v>
      </c>
      <c r="AI634" t="n">
        <v>1</v>
      </c>
      <c r="AJ634" t="n">
        <v>0</v>
      </c>
      <c r="AK634" t="n">
        <v>1</v>
      </c>
      <c r="AL634" t="n">
        <v>0</v>
      </c>
      <c r="AM634" t="n">
        <v>1</v>
      </c>
      <c r="AN634" t="n">
        <v>0</v>
      </c>
      <c r="AO634" t="n">
        <v>1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HYPERLINK("https://creighton-primo.hosted.exlibrisgroup.com/primo-explore/search?tab=default_tab&amp;search_scope=EVERYTHING&amp;vid=01CRU&amp;lang=en_US&amp;offset=0&amp;query=any,contains,991000965199702656","Catalog Record")</f>
        <v/>
      </c>
      <c r="AT634">
        <f>HYPERLINK("http://www.worldcat.org/oclc/7716894","WorldCat Record")</f>
        <v/>
      </c>
    </row>
    <row r="635">
      <c r="A635" t="inlineStr">
        <is>
          <t>No</t>
        </is>
      </c>
      <c r="B635" t="inlineStr">
        <is>
          <t>QV 736 B747c 1993</t>
        </is>
      </c>
      <c r="C635" t="inlineStr">
        <is>
          <t>0                      QV 0736000B  747c        1993</t>
        </is>
      </c>
      <c r="D635" t="inlineStr">
        <is>
          <t>The contribution of pharmaceutical companies : what's at stake for America : a report / prepared by The Boston Consulting Group, Inc.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Boston Consulting Group.</t>
        </is>
      </c>
      <c r="L635" t="inlineStr">
        <is>
          <t>[Boston] : Boston Consuting Group, [1993]</t>
        </is>
      </c>
      <c r="M635" t="inlineStr">
        <is>
          <t>1993</t>
        </is>
      </c>
      <c r="O635" t="inlineStr">
        <is>
          <t>eng</t>
        </is>
      </c>
      <c r="P635" t="inlineStr">
        <is>
          <t>mau</t>
        </is>
      </c>
      <c r="R635" t="inlineStr">
        <is>
          <t xml:space="preserve">QV </t>
        </is>
      </c>
      <c r="S635" t="n">
        <v>3</v>
      </c>
      <c r="T635" t="n">
        <v>3</v>
      </c>
      <c r="U635" t="inlineStr">
        <is>
          <t>1993-10-26</t>
        </is>
      </c>
      <c r="V635" t="inlineStr">
        <is>
          <t>1993-10-26</t>
        </is>
      </c>
      <c r="W635" t="inlineStr">
        <is>
          <t>1993-10-26</t>
        </is>
      </c>
      <c r="X635" t="inlineStr">
        <is>
          <t>1993-10-26</t>
        </is>
      </c>
      <c r="Y635" t="n">
        <v>53</v>
      </c>
      <c r="Z635" t="n">
        <v>51</v>
      </c>
      <c r="AA635" t="n">
        <v>83</v>
      </c>
      <c r="AB635" t="n">
        <v>1</v>
      </c>
      <c r="AC635" t="n">
        <v>1</v>
      </c>
      <c r="AD635" t="n">
        <v>2</v>
      </c>
      <c r="AE635" t="n">
        <v>3</v>
      </c>
      <c r="AF635" t="n">
        <v>0</v>
      </c>
      <c r="AG635" t="n">
        <v>1</v>
      </c>
      <c r="AH635" t="n">
        <v>1</v>
      </c>
      <c r="AI635" t="n">
        <v>1</v>
      </c>
      <c r="AJ635" t="n">
        <v>0</v>
      </c>
      <c r="AK635" t="n">
        <v>0</v>
      </c>
      <c r="AL635" t="n">
        <v>0</v>
      </c>
      <c r="AM635" t="n">
        <v>0</v>
      </c>
      <c r="AN635" t="n">
        <v>1</v>
      </c>
      <c r="AO635" t="n">
        <v>1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HYPERLINK("https://creighton-primo.hosted.exlibrisgroup.com/primo-explore/search?tab=default_tab&amp;search_scope=EVERYTHING&amp;vid=01CRU&amp;lang=en_US&amp;offset=0&amp;query=any,contains,991001515439702656","Catalog Record")</f>
        <v/>
      </c>
      <c r="AT635">
        <f>HYPERLINK("http://www.worldcat.org/oclc/28923860","WorldCat Record")</f>
        <v/>
      </c>
    </row>
    <row r="636">
      <c r="A636" t="inlineStr">
        <is>
          <t>No</t>
        </is>
      </c>
      <c r="B636" t="inlineStr">
        <is>
          <t>QV 736 C319f 1991</t>
        </is>
      </c>
      <c r="C636" t="inlineStr">
        <is>
          <t>0                      QV 0736000C  319f        1991</t>
        </is>
      </c>
      <c r="D636" t="inlineStr">
        <is>
          <t>Financial management for pharmacists : a decision-making approach / Norman V. Carroll.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Carroll, Norman V.</t>
        </is>
      </c>
      <c r="L636" t="inlineStr">
        <is>
          <t>Philadelphia : Lea &amp; Febiger, c1991.</t>
        </is>
      </c>
      <c r="M636" t="inlineStr">
        <is>
          <t>1991</t>
        </is>
      </c>
      <c r="O636" t="inlineStr">
        <is>
          <t>eng</t>
        </is>
      </c>
      <c r="P636" t="inlineStr">
        <is>
          <t>pau</t>
        </is>
      </c>
      <c r="R636" t="inlineStr">
        <is>
          <t xml:space="preserve">QV </t>
        </is>
      </c>
      <c r="S636" t="n">
        <v>4</v>
      </c>
      <c r="T636" t="n">
        <v>4</v>
      </c>
      <c r="U636" t="inlineStr">
        <is>
          <t>1990-10-26</t>
        </is>
      </c>
      <c r="V636" t="inlineStr">
        <is>
          <t>1990-10-26</t>
        </is>
      </c>
      <c r="W636" t="inlineStr">
        <is>
          <t>1990-10-26</t>
        </is>
      </c>
      <c r="X636" t="inlineStr">
        <is>
          <t>1990-10-26</t>
        </is>
      </c>
      <c r="Y636" t="n">
        <v>46</v>
      </c>
      <c r="Z636" t="n">
        <v>32</v>
      </c>
      <c r="AA636" t="n">
        <v>88</v>
      </c>
      <c r="AB636" t="n">
        <v>1</v>
      </c>
      <c r="AC636" t="n">
        <v>1</v>
      </c>
      <c r="AD636" t="n">
        <v>2</v>
      </c>
      <c r="AE636" t="n">
        <v>6</v>
      </c>
      <c r="AF636" t="n">
        <v>2</v>
      </c>
      <c r="AG636" t="n">
        <v>5</v>
      </c>
      <c r="AH636" t="n">
        <v>0</v>
      </c>
      <c r="AI636" t="n">
        <v>1</v>
      </c>
      <c r="AJ636" t="n">
        <v>0</v>
      </c>
      <c r="AK636" t="n">
        <v>1</v>
      </c>
      <c r="AL636" t="n">
        <v>0</v>
      </c>
      <c r="AM636" t="n">
        <v>0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HYPERLINK("http://catalog.hathitrust.org/Record/002235191","HathiTrust Record")</f>
        <v/>
      </c>
      <c r="AS636">
        <f>HYPERLINK("https://creighton-primo.hosted.exlibrisgroup.com/primo-explore/search?tab=default_tab&amp;search_scope=EVERYTHING&amp;vid=01CRU&amp;lang=en_US&amp;offset=0&amp;query=any,contains,991000772139702656","Catalog Record")</f>
        <v/>
      </c>
      <c r="AT636">
        <f>HYPERLINK("http://www.worldcat.org/oclc/21336618","WorldCat Record")</f>
        <v/>
      </c>
    </row>
    <row r="637">
      <c r="A637" t="inlineStr">
        <is>
          <t>No</t>
        </is>
      </c>
      <c r="B637" t="inlineStr">
        <is>
          <t>QV 736 C456 1993</t>
        </is>
      </c>
      <c r="C637" t="inlineStr">
        <is>
          <t>0                      QV 0736000C  456         1993</t>
        </is>
      </c>
      <c r="D637" t="inlineStr">
        <is>
          <t>The Changing environment for U.S. pharmaceuticals : the role of pharmaceutical companies in a systems approach to health care : a report / prepared by The Boston Consulting Group, Inc. ; sponsored by Pfizer Inc.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L637" t="inlineStr">
        <is>
          <t>[Boston] : The Group, 1993.</t>
        </is>
      </c>
      <c r="M637" t="inlineStr">
        <is>
          <t>1993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QV </t>
        </is>
      </c>
      <c r="S637" t="n">
        <v>4</v>
      </c>
      <c r="T637" t="n">
        <v>4</v>
      </c>
      <c r="U637" t="inlineStr">
        <is>
          <t>2006-10-03</t>
        </is>
      </c>
      <c r="V637" t="inlineStr">
        <is>
          <t>2006-10-03</t>
        </is>
      </c>
      <c r="W637" t="inlineStr">
        <is>
          <t>1993-06-03</t>
        </is>
      </c>
      <c r="X637" t="inlineStr">
        <is>
          <t>1993-06-03</t>
        </is>
      </c>
      <c r="Y637" t="n">
        <v>147</v>
      </c>
      <c r="Z637" t="n">
        <v>144</v>
      </c>
      <c r="AA637" t="n">
        <v>144</v>
      </c>
      <c r="AB637" t="n">
        <v>1</v>
      </c>
      <c r="AC637" t="n">
        <v>1</v>
      </c>
      <c r="AD637" t="n">
        <v>12</v>
      </c>
      <c r="AE637" t="n">
        <v>12</v>
      </c>
      <c r="AF637" t="n">
        <v>3</v>
      </c>
      <c r="AG637" t="n">
        <v>3</v>
      </c>
      <c r="AH637" t="n">
        <v>3</v>
      </c>
      <c r="AI637" t="n">
        <v>3</v>
      </c>
      <c r="AJ637" t="n">
        <v>4</v>
      </c>
      <c r="AK637" t="n">
        <v>4</v>
      </c>
      <c r="AL637" t="n">
        <v>0</v>
      </c>
      <c r="AM637" t="n">
        <v>0</v>
      </c>
      <c r="AN637" t="n">
        <v>4</v>
      </c>
      <c r="AO637" t="n">
        <v>4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HYPERLINK("https://creighton-primo.hosted.exlibrisgroup.com/primo-explore/search?tab=default_tab&amp;search_scope=EVERYTHING&amp;vid=01CRU&amp;lang=en_US&amp;offset=0&amp;query=any,contains,991001508909702656","Catalog Record")</f>
        <v/>
      </c>
      <c r="AT637">
        <f>HYPERLINK("http://www.worldcat.org/oclc/28132018","WorldCat Record")</f>
        <v/>
      </c>
    </row>
    <row r="638">
      <c r="A638" t="inlineStr">
        <is>
          <t>No</t>
        </is>
      </c>
      <c r="B638" t="inlineStr">
        <is>
          <t>QV 736 G273m</t>
        </is>
      </c>
      <c r="C638" t="inlineStr">
        <is>
          <t>0                      QV 0736000G  273m</t>
        </is>
      </c>
      <c r="D638" t="inlineStr">
        <is>
          <t>Medicines for the masses : a window on pharmaceutical industry / by Madan Gaur.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Gaur, Madan, 1933-</t>
        </is>
      </c>
      <c r="L638" t="inlineStr">
        <is>
          <t>Bombay : Press &amp; P.R. Services, [1981?].</t>
        </is>
      </c>
      <c r="M638" t="inlineStr">
        <is>
          <t>1981</t>
        </is>
      </c>
      <c r="O638" t="inlineStr">
        <is>
          <t>eng</t>
        </is>
      </c>
      <c r="P638" t="inlineStr">
        <is>
          <t xml:space="preserve">ii </t>
        </is>
      </c>
      <c r="R638" t="inlineStr">
        <is>
          <t xml:space="preserve">QV </t>
        </is>
      </c>
      <c r="S638" t="n">
        <v>3</v>
      </c>
      <c r="T638" t="n">
        <v>3</v>
      </c>
      <c r="U638" t="inlineStr">
        <is>
          <t>2002-07-08</t>
        </is>
      </c>
      <c r="V638" t="inlineStr">
        <is>
          <t>2002-07-08</t>
        </is>
      </c>
      <c r="W638" t="inlineStr">
        <is>
          <t>1988-02-09</t>
        </is>
      </c>
      <c r="X638" t="inlineStr">
        <is>
          <t>1988-02-09</t>
        </is>
      </c>
      <c r="Y638" t="n">
        <v>32</v>
      </c>
      <c r="Z638" t="n">
        <v>27</v>
      </c>
      <c r="AA638" t="n">
        <v>29</v>
      </c>
      <c r="AB638" t="n">
        <v>1</v>
      </c>
      <c r="AC638" t="n">
        <v>1</v>
      </c>
      <c r="AD638" t="n">
        <v>0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HYPERLINK("http://catalog.hathitrust.org/Record/000486286","HathiTrust Record")</f>
        <v/>
      </c>
      <c r="AS638">
        <f>HYPERLINK("https://creighton-primo.hosted.exlibrisgroup.com/primo-explore/search?tab=default_tab&amp;search_scope=EVERYTHING&amp;vid=01CRU&amp;lang=en_US&amp;offset=0&amp;query=any,contains,991000965119702656","Catalog Record")</f>
        <v/>
      </c>
      <c r="AT638">
        <f>HYPERLINK("http://www.worldcat.org/oclc/9206403","WorldCat Record")</f>
        <v/>
      </c>
    </row>
    <row r="639">
      <c r="A639" t="inlineStr">
        <is>
          <t>No</t>
        </is>
      </c>
      <c r="B639" t="inlineStr">
        <is>
          <t>QV 736 L439r 2003</t>
        </is>
      </c>
      <c r="C639" t="inlineStr">
        <is>
          <t>0                      QV 0736000L  439r        2003</t>
        </is>
      </c>
      <c r="D639" t="inlineStr">
        <is>
          <t>The real drug abusers / Fred Leavitt.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1</t>
        </is>
      </c>
      <c r="K639" t="inlineStr">
        <is>
          <t>Leavitt, Fred.</t>
        </is>
      </c>
      <c r="L639" t="inlineStr">
        <is>
          <t>Lanham, Md. : Rowman &amp; Littlefield Publishers, c2003.</t>
        </is>
      </c>
      <c r="M639" t="inlineStr">
        <is>
          <t>2003</t>
        </is>
      </c>
      <c r="O639" t="inlineStr">
        <is>
          <t>eng</t>
        </is>
      </c>
      <c r="P639" t="inlineStr">
        <is>
          <t>mdu</t>
        </is>
      </c>
      <c r="R639" t="inlineStr">
        <is>
          <t xml:space="preserve">QV </t>
        </is>
      </c>
      <c r="S639" t="n">
        <v>0</v>
      </c>
      <c r="T639" t="n">
        <v>0</v>
      </c>
      <c r="U639" t="inlineStr">
        <is>
          <t>2004-09-24</t>
        </is>
      </c>
      <c r="V639" t="inlineStr">
        <is>
          <t>2004-09-24</t>
        </is>
      </c>
      <c r="W639" t="inlineStr">
        <is>
          <t>2004-09-24</t>
        </is>
      </c>
      <c r="X639" t="inlineStr">
        <is>
          <t>2004-09-24</t>
        </is>
      </c>
      <c r="Y639" t="n">
        <v>347</v>
      </c>
      <c r="Z639" t="n">
        <v>309</v>
      </c>
      <c r="AA639" t="n">
        <v>777</v>
      </c>
      <c r="AB639" t="n">
        <v>1</v>
      </c>
      <c r="AC639" t="n">
        <v>12</v>
      </c>
      <c r="AD639" t="n">
        <v>10</v>
      </c>
      <c r="AE639" t="n">
        <v>32</v>
      </c>
      <c r="AF639" t="n">
        <v>5</v>
      </c>
      <c r="AG639" t="n">
        <v>11</v>
      </c>
      <c r="AH639" t="n">
        <v>3</v>
      </c>
      <c r="AI639" t="n">
        <v>8</v>
      </c>
      <c r="AJ639" t="n">
        <v>6</v>
      </c>
      <c r="AK639" t="n">
        <v>9</v>
      </c>
      <c r="AL639" t="n">
        <v>0</v>
      </c>
      <c r="AM639" t="n">
        <v>10</v>
      </c>
      <c r="AN639" t="n">
        <v>1</v>
      </c>
      <c r="AO639" t="n">
        <v>2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HYPERLINK("http://catalog.hathitrust.org/Record/004324306","HathiTrust Record")</f>
        <v/>
      </c>
      <c r="AS639">
        <f>HYPERLINK("https://creighton-primo.hosted.exlibrisgroup.com/primo-explore/search?tab=default_tab&amp;search_scope=EVERYTHING&amp;vid=01CRU&amp;lang=en_US&amp;offset=0&amp;query=any,contains,991000395799702656","Catalog Record")</f>
        <v/>
      </c>
      <c r="AT639">
        <f>HYPERLINK("http://www.worldcat.org/oclc/51216484","WorldCat Record")</f>
        <v/>
      </c>
    </row>
    <row r="640">
      <c r="A640" t="inlineStr">
        <is>
          <t>No</t>
        </is>
      </c>
      <c r="B640" t="inlineStr">
        <is>
          <t>QV 736 M339p 1980</t>
        </is>
      </c>
      <c r="C640" t="inlineStr">
        <is>
          <t>0                      QV 0736000M  339p        1980</t>
        </is>
      </c>
      <c r="D640" t="inlineStr">
        <is>
          <t>Principles of pharmaceutical accounting / Francis A. Marino, Edward J. Zabloski, Colman M. Herman.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Marino, Francis A.</t>
        </is>
      </c>
      <c r="L640" t="inlineStr">
        <is>
          <t>Philadelphia : Lea &amp; Febiger, c1980.</t>
        </is>
      </c>
      <c r="M640" t="inlineStr">
        <is>
          <t>1980</t>
        </is>
      </c>
      <c r="O640" t="inlineStr">
        <is>
          <t>eng</t>
        </is>
      </c>
      <c r="P640" t="inlineStr">
        <is>
          <t>xxu</t>
        </is>
      </c>
      <c r="R640" t="inlineStr">
        <is>
          <t xml:space="preserve">QV </t>
        </is>
      </c>
      <c r="S640" t="n">
        <v>7</v>
      </c>
      <c r="T640" t="n">
        <v>7</v>
      </c>
      <c r="U640" t="inlineStr">
        <is>
          <t>1989-11-04</t>
        </is>
      </c>
      <c r="V640" t="inlineStr">
        <is>
          <t>1989-11-04</t>
        </is>
      </c>
      <c r="W640" t="inlineStr">
        <is>
          <t>1987-09-28</t>
        </is>
      </c>
      <c r="X640" t="inlineStr">
        <is>
          <t>1987-09-28</t>
        </is>
      </c>
      <c r="Y640" t="n">
        <v>92</v>
      </c>
      <c r="Z640" t="n">
        <v>70</v>
      </c>
      <c r="AA640" t="n">
        <v>74</v>
      </c>
      <c r="AB640" t="n">
        <v>1</v>
      </c>
      <c r="AC640" t="n">
        <v>1</v>
      </c>
      <c r="AD640" t="n">
        <v>3</v>
      </c>
      <c r="AE640" t="n">
        <v>3</v>
      </c>
      <c r="AF640" t="n">
        <v>1</v>
      </c>
      <c r="AG640" t="n">
        <v>1</v>
      </c>
      <c r="AH640" t="n">
        <v>1</v>
      </c>
      <c r="AI640" t="n">
        <v>1</v>
      </c>
      <c r="AJ640" t="n">
        <v>1</v>
      </c>
      <c r="AK640" t="n">
        <v>1</v>
      </c>
      <c r="AL640" t="n">
        <v>0</v>
      </c>
      <c r="AM640" t="n">
        <v>0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HYPERLINK("http://catalog.hathitrust.org/Record/000740517","HathiTrust Record")</f>
        <v/>
      </c>
      <c r="AS640">
        <f>HYPERLINK("https://creighton-primo.hosted.exlibrisgroup.com/primo-explore/search?tab=default_tab&amp;search_scope=EVERYTHING&amp;vid=01CRU&amp;lang=en_US&amp;offset=0&amp;query=any,contains,991000748209702656","Catalog Record")</f>
        <v/>
      </c>
      <c r="AT640">
        <f>HYPERLINK("http://www.worldcat.org/oclc/5353409","WorldCat Record")</f>
        <v/>
      </c>
    </row>
    <row r="641">
      <c r="A641" t="inlineStr">
        <is>
          <t>No</t>
        </is>
      </c>
      <c r="B641" t="inlineStr">
        <is>
          <t>QV 736 N717d 1941</t>
        </is>
      </c>
      <c r="C641" t="inlineStr">
        <is>
          <t>0                      QV 0736000N  717d        1941</t>
        </is>
      </c>
      <c r="D641" t="inlineStr">
        <is>
          <t>Drug store management / by Herman C. Nolen and Harold H. Maynard.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Nolen, Herman C. (Herman Christian), 1901-1993.</t>
        </is>
      </c>
      <c r="L641" t="inlineStr">
        <is>
          <t>New York : McGraw-Hill, c1941.</t>
        </is>
      </c>
      <c r="M641" t="inlineStr">
        <is>
          <t>1941</t>
        </is>
      </c>
      <c r="N641" t="inlineStr">
        <is>
          <t>1st ed.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QV </t>
        </is>
      </c>
      <c r="S641" t="n">
        <v>1</v>
      </c>
      <c r="T641" t="n">
        <v>1</v>
      </c>
      <c r="U641" t="inlineStr">
        <is>
          <t>1988-12-07</t>
        </is>
      </c>
      <c r="V641" t="inlineStr">
        <is>
          <t>1988-12-07</t>
        </is>
      </c>
      <c r="W641" t="inlineStr">
        <is>
          <t>1988-02-09</t>
        </is>
      </c>
      <c r="X641" t="inlineStr">
        <is>
          <t>1988-02-09</t>
        </is>
      </c>
      <c r="Y641" t="n">
        <v>119</v>
      </c>
      <c r="Z641" t="n">
        <v>104</v>
      </c>
      <c r="AA641" t="n">
        <v>112</v>
      </c>
      <c r="AB641" t="n">
        <v>1</v>
      </c>
      <c r="AC641" t="n">
        <v>1</v>
      </c>
      <c r="AD641" t="n">
        <v>3</v>
      </c>
      <c r="AE641" t="n">
        <v>3</v>
      </c>
      <c r="AF641" t="n">
        <v>1</v>
      </c>
      <c r="AG641" t="n">
        <v>1</v>
      </c>
      <c r="AH641" t="n">
        <v>1</v>
      </c>
      <c r="AI641" t="n">
        <v>1</v>
      </c>
      <c r="AJ641" t="n">
        <v>2</v>
      </c>
      <c r="AK641" t="n">
        <v>2</v>
      </c>
      <c r="AL641" t="n">
        <v>0</v>
      </c>
      <c r="AM641" t="n">
        <v>0</v>
      </c>
      <c r="AN641" t="n">
        <v>0</v>
      </c>
      <c r="AO641" t="n">
        <v>0</v>
      </c>
      <c r="AP641" t="inlineStr">
        <is>
          <t>Yes</t>
        </is>
      </c>
      <c r="AQ641" t="inlineStr">
        <is>
          <t>No</t>
        </is>
      </c>
      <c r="AR641">
        <f>HYPERLINK("http://catalog.hathitrust.org/Record/001573684","HathiTrust Record")</f>
        <v/>
      </c>
      <c r="AS641">
        <f>HYPERLINK("https://creighton-primo.hosted.exlibrisgroup.com/primo-explore/search?tab=default_tab&amp;search_scope=EVERYTHING&amp;vid=01CRU&amp;lang=en_US&amp;offset=0&amp;query=any,contains,991000965299702656","Catalog Record")</f>
        <v/>
      </c>
      <c r="AT641">
        <f>HYPERLINK("http://www.worldcat.org/oclc/2545598","WorldCat Record")</f>
        <v/>
      </c>
    </row>
    <row r="642">
      <c r="A642" t="inlineStr">
        <is>
          <t>No</t>
        </is>
      </c>
      <c r="B642" t="inlineStr">
        <is>
          <t>QV736 P142p 2005</t>
        </is>
      </c>
      <c r="C642" t="inlineStr">
        <is>
          <t>0                      QV 0736000P  142p        2005</t>
        </is>
      </c>
      <c r="D642" t="inlineStr">
        <is>
          <t>Pharmaceutical product strategy : using dynamic modeling for effective brand planning / Mark Paich, Corey Peck, and Jason Valant.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Paich, Mark.</t>
        </is>
      </c>
      <c r="L642" t="inlineStr">
        <is>
          <t>Boca Raton, FL : Interpharm/CRC 2004.</t>
        </is>
      </c>
      <c r="M642" t="inlineStr">
        <is>
          <t>2005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QV </t>
        </is>
      </c>
      <c r="S642" t="n">
        <v>0</v>
      </c>
      <c r="T642" t="n">
        <v>0</v>
      </c>
      <c r="U642" t="inlineStr">
        <is>
          <t>2006-02-07</t>
        </is>
      </c>
      <c r="V642" t="inlineStr">
        <is>
          <t>2006-02-07</t>
        </is>
      </c>
      <c r="W642" t="inlineStr">
        <is>
          <t>2006-02-06</t>
        </is>
      </c>
      <c r="X642" t="inlineStr">
        <is>
          <t>2006-02-06</t>
        </is>
      </c>
      <c r="Y642" t="n">
        <v>96</v>
      </c>
      <c r="Z642" t="n">
        <v>69</v>
      </c>
      <c r="AA642" t="n">
        <v>96</v>
      </c>
      <c r="AB642" t="n">
        <v>2</v>
      </c>
      <c r="AC642" t="n">
        <v>2</v>
      </c>
      <c r="AD642" t="n">
        <v>2</v>
      </c>
      <c r="AE642" t="n">
        <v>2</v>
      </c>
      <c r="AF642" t="n">
        <v>0</v>
      </c>
      <c r="AG642" t="n">
        <v>0</v>
      </c>
      <c r="AH642" t="n">
        <v>1</v>
      </c>
      <c r="AI642" t="n">
        <v>1</v>
      </c>
      <c r="AJ642" t="n">
        <v>1</v>
      </c>
      <c r="AK642" t="n">
        <v>1</v>
      </c>
      <c r="AL642" t="n">
        <v>1</v>
      </c>
      <c r="AM642" t="n">
        <v>1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HYPERLINK("https://creighton-primo.hosted.exlibrisgroup.com/primo-explore/search?tab=default_tab&amp;search_scope=EVERYTHING&amp;vid=01CRU&amp;lang=en_US&amp;offset=0&amp;query=any,contains,991000462989702656","Catalog Record")</f>
        <v/>
      </c>
      <c r="AT642">
        <f>HYPERLINK("http://www.worldcat.org/oclc/56068953","WorldCat Record")</f>
        <v/>
      </c>
    </row>
    <row r="643">
      <c r="A643" t="inlineStr">
        <is>
          <t>No</t>
        </is>
      </c>
      <c r="B643" t="inlineStr">
        <is>
          <t>QV 736 P361d 1926</t>
        </is>
      </c>
      <c r="C643" t="inlineStr">
        <is>
          <t>0                      QV 0736000P  361d        1926</t>
        </is>
      </c>
      <c r="D643" t="inlineStr">
        <is>
          <t>Drug store business methods : a text-book on commercial pharmacy / by Charles W. Pearson.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Pearson, Charles W.</t>
        </is>
      </c>
      <c r="L643" t="inlineStr">
        <is>
          <t>Philadelphia ; New York : Lea &amp; Febiger, 1926.</t>
        </is>
      </c>
      <c r="M643" t="inlineStr">
        <is>
          <t>1926</t>
        </is>
      </c>
      <c r="O643" t="inlineStr">
        <is>
          <t>eng</t>
        </is>
      </c>
      <c r="P643" t="inlineStr">
        <is>
          <t>pau</t>
        </is>
      </c>
      <c r="R643" t="inlineStr">
        <is>
          <t xml:space="preserve">QV </t>
        </is>
      </c>
      <c r="S643" t="n">
        <v>3</v>
      </c>
      <c r="T643" t="n">
        <v>3</v>
      </c>
      <c r="U643" t="inlineStr">
        <is>
          <t>2002-07-08</t>
        </is>
      </c>
      <c r="V643" t="inlineStr">
        <is>
          <t>2002-07-08</t>
        </is>
      </c>
      <c r="W643" t="inlineStr">
        <is>
          <t>1988-03-22</t>
        </is>
      </c>
      <c r="X643" t="inlineStr">
        <is>
          <t>1988-03-22</t>
        </is>
      </c>
      <c r="Y643" t="n">
        <v>24</v>
      </c>
      <c r="Z643" t="n">
        <v>20</v>
      </c>
      <c r="AA643" t="n">
        <v>47</v>
      </c>
      <c r="AB643" t="n">
        <v>1</v>
      </c>
      <c r="AC643" t="n">
        <v>1</v>
      </c>
      <c r="AD643" t="n">
        <v>0</v>
      </c>
      <c r="AE643" t="n">
        <v>1</v>
      </c>
      <c r="AF643" t="n">
        <v>0</v>
      </c>
      <c r="AG643" t="n">
        <v>1</v>
      </c>
      <c r="AH643" t="n">
        <v>0</v>
      </c>
      <c r="AI643" t="n">
        <v>0</v>
      </c>
      <c r="AJ643" t="n">
        <v>0</v>
      </c>
      <c r="AK643" t="n">
        <v>0</v>
      </c>
      <c r="AL643" t="n">
        <v>0</v>
      </c>
      <c r="AM643" t="n">
        <v>0</v>
      </c>
      <c r="AN643" t="n">
        <v>0</v>
      </c>
      <c r="AO643" t="n">
        <v>0</v>
      </c>
      <c r="AP643" t="inlineStr">
        <is>
          <t>Yes</t>
        </is>
      </c>
      <c r="AQ643" t="inlineStr">
        <is>
          <t>No</t>
        </is>
      </c>
      <c r="AR643">
        <f>HYPERLINK("http://catalog.hathitrust.org/Record/001573685","HathiTrust Record")</f>
        <v/>
      </c>
      <c r="AS643">
        <f>HYPERLINK("https://creighton-primo.hosted.exlibrisgroup.com/primo-explore/search?tab=default_tab&amp;search_scope=EVERYTHING&amp;vid=01CRU&amp;lang=en_US&amp;offset=0&amp;query=any,contains,991000965329702656","Catalog Record")</f>
        <v/>
      </c>
      <c r="AT643">
        <f>HYPERLINK("http://www.worldcat.org/oclc/3734394","WorldCat Record")</f>
        <v/>
      </c>
    </row>
    <row r="644">
      <c r="A644" t="inlineStr">
        <is>
          <t>No</t>
        </is>
      </c>
      <c r="B644" t="inlineStr">
        <is>
          <t>QV 736 P536 1990</t>
        </is>
      </c>
      <c r="C644" t="inlineStr">
        <is>
          <t>0                      QV 0736000P  536         1990</t>
        </is>
      </c>
      <c r="D644" t="inlineStr">
        <is>
          <t>The Pharmaceutical industry : transition to the 1990s : speeches from the Annual Meeting, 1990.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Washington, D.C. : Pharmaceutical Manufacturers Association, [1990]</t>
        </is>
      </c>
      <c r="M644" t="inlineStr">
        <is>
          <t>1990</t>
        </is>
      </c>
      <c r="O644" t="inlineStr">
        <is>
          <t>eng</t>
        </is>
      </c>
      <c r="P644" t="inlineStr">
        <is>
          <t>dcu</t>
        </is>
      </c>
      <c r="R644" t="inlineStr">
        <is>
          <t xml:space="preserve">QV </t>
        </is>
      </c>
      <c r="S644" t="n">
        <v>1</v>
      </c>
      <c r="T644" t="n">
        <v>1</v>
      </c>
      <c r="U644" t="inlineStr">
        <is>
          <t>1990-10-09</t>
        </is>
      </c>
      <c r="V644" t="inlineStr">
        <is>
          <t>1990-10-09</t>
        </is>
      </c>
      <c r="W644" t="inlineStr">
        <is>
          <t>1990-10-09</t>
        </is>
      </c>
      <c r="X644" t="inlineStr">
        <is>
          <t>1990-10-09</t>
        </is>
      </c>
      <c r="Y644" t="n">
        <v>7</v>
      </c>
      <c r="Z644" t="n">
        <v>7</v>
      </c>
      <c r="AA644" t="n">
        <v>7</v>
      </c>
      <c r="AB644" t="n">
        <v>1</v>
      </c>
      <c r="AC644" t="n">
        <v>1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0</v>
      </c>
      <c r="AM644" t="n">
        <v>0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HYPERLINK("https://creighton-primo.hosted.exlibrisgroup.com/primo-explore/search?tab=default_tab&amp;search_scope=EVERYTHING&amp;vid=01CRU&amp;lang=en_US&amp;offset=0&amp;query=any,contains,991000767269702656","Catalog Record")</f>
        <v/>
      </c>
      <c r="AT644">
        <f>HYPERLINK("http://www.worldcat.org/oclc/22174943","WorldCat Record")</f>
        <v/>
      </c>
    </row>
    <row r="645">
      <c r="A645" t="inlineStr">
        <is>
          <t>No</t>
        </is>
      </c>
      <c r="B645" t="inlineStr">
        <is>
          <t>QV 736 P5365 1982</t>
        </is>
      </c>
      <c r="C645" t="inlineStr">
        <is>
          <t>0                      QV 0736000P  5365        1982</t>
        </is>
      </c>
      <c r="D645" t="inlineStr">
        <is>
          <t>Pharmaceuticals in the year 2000 : the changing context for drug R&amp;D / Clement Bezold, editor.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Alexandria, Va. : Institute for Alternative Futures, c1983.</t>
        </is>
      </c>
      <c r="M645" t="inlineStr">
        <is>
          <t>1983</t>
        </is>
      </c>
      <c r="O645" t="inlineStr">
        <is>
          <t>eng</t>
        </is>
      </c>
      <c r="P645" t="inlineStr">
        <is>
          <t>xxu</t>
        </is>
      </c>
      <c r="R645" t="inlineStr">
        <is>
          <t xml:space="preserve">QV </t>
        </is>
      </c>
      <c r="S645" t="n">
        <v>7</v>
      </c>
      <c r="T645" t="n">
        <v>7</v>
      </c>
      <c r="U645" t="inlineStr">
        <is>
          <t>2006-10-03</t>
        </is>
      </c>
      <c r="V645" t="inlineStr">
        <is>
          <t>2006-10-03</t>
        </is>
      </c>
      <c r="W645" t="inlineStr">
        <is>
          <t>1988-02-09</t>
        </is>
      </c>
      <c r="X645" t="inlineStr">
        <is>
          <t>1988-02-09</t>
        </is>
      </c>
      <c r="Y645" t="n">
        <v>222</v>
      </c>
      <c r="Z645" t="n">
        <v>196</v>
      </c>
      <c r="AA645" t="n">
        <v>198</v>
      </c>
      <c r="AB645" t="n">
        <v>1</v>
      </c>
      <c r="AC645" t="n">
        <v>1</v>
      </c>
      <c r="AD645" t="n">
        <v>7</v>
      </c>
      <c r="AE645" t="n">
        <v>7</v>
      </c>
      <c r="AF645" t="n">
        <v>3</v>
      </c>
      <c r="AG645" t="n">
        <v>3</v>
      </c>
      <c r="AH645" t="n">
        <v>3</v>
      </c>
      <c r="AI645" t="n">
        <v>3</v>
      </c>
      <c r="AJ645" t="n">
        <v>2</v>
      </c>
      <c r="AK645" t="n">
        <v>2</v>
      </c>
      <c r="AL645" t="n">
        <v>0</v>
      </c>
      <c r="AM645" t="n">
        <v>0</v>
      </c>
      <c r="AN645" t="n">
        <v>1</v>
      </c>
      <c r="AO645" t="n">
        <v>1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HYPERLINK("http://catalog.hathitrust.org/Record/000245654","HathiTrust Record")</f>
        <v/>
      </c>
      <c r="AS645">
        <f>HYPERLINK("https://creighton-primo.hosted.exlibrisgroup.com/primo-explore/search?tab=default_tab&amp;search_scope=EVERYTHING&amp;vid=01CRU&amp;lang=en_US&amp;offset=0&amp;query=any,contains,991000965159702656","Catalog Record")</f>
        <v/>
      </c>
      <c r="AT645">
        <f>HYPERLINK("http://www.worldcat.org/oclc/9442036","WorldCat Record")</f>
        <v/>
      </c>
    </row>
    <row r="646">
      <c r="A646" t="inlineStr">
        <is>
          <t>No</t>
        </is>
      </c>
      <c r="B646" t="inlineStr">
        <is>
          <t>QV 736 S655p 1968</t>
        </is>
      </c>
      <c r="C646" t="inlineStr">
        <is>
          <t>0                      QV 0736000S  655p        1968</t>
        </is>
      </c>
      <c r="D646" t="inlineStr">
        <is>
          <t>Principles of pharmaceutical marketing / Mickey C. Smith ; with chapters contributed by Max A. Fern ... [et al.].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Smith, Mickey C.</t>
        </is>
      </c>
      <c r="L646" t="inlineStr">
        <is>
          <t>Philadelphia : Lea &amp; Febiger, 1968.</t>
        </is>
      </c>
      <c r="M646" t="inlineStr">
        <is>
          <t>1968</t>
        </is>
      </c>
      <c r="O646" t="inlineStr">
        <is>
          <t>eng</t>
        </is>
      </c>
      <c r="P646" t="inlineStr">
        <is>
          <t>pau</t>
        </is>
      </c>
      <c r="R646" t="inlineStr">
        <is>
          <t xml:space="preserve">QV </t>
        </is>
      </c>
      <c r="S646" t="n">
        <v>4</v>
      </c>
      <c r="T646" t="n">
        <v>4</v>
      </c>
      <c r="U646" t="inlineStr">
        <is>
          <t>2000-11-10</t>
        </is>
      </c>
      <c r="V646" t="inlineStr">
        <is>
          <t>2000-11-10</t>
        </is>
      </c>
      <c r="W646" t="inlineStr">
        <is>
          <t>1988-03-22</t>
        </is>
      </c>
      <c r="X646" t="inlineStr">
        <is>
          <t>1988-03-22</t>
        </is>
      </c>
      <c r="Y646" t="n">
        <v>167</v>
      </c>
      <c r="Z646" t="n">
        <v>135</v>
      </c>
      <c r="AA646" t="n">
        <v>285</v>
      </c>
      <c r="AB646" t="n">
        <v>2</v>
      </c>
      <c r="AC646" t="n">
        <v>2</v>
      </c>
      <c r="AD646" t="n">
        <v>5</v>
      </c>
      <c r="AE646" t="n">
        <v>9</v>
      </c>
      <c r="AF646" t="n">
        <v>2</v>
      </c>
      <c r="AG646" t="n">
        <v>2</v>
      </c>
      <c r="AH646" t="n">
        <v>2</v>
      </c>
      <c r="AI646" t="n">
        <v>4</v>
      </c>
      <c r="AJ646" t="n">
        <v>2</v>
      </c>
      <c r="AK646" t="n">
        <v>5</v>
      </c>
      <c r="AL646" t="n">
        <v>1</v>
      </c>
      <c r="AM646" t="n">
        <v>1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HYPERLINK("http://catalog.hathitrust.org/Record/006703256","HathiTrust Record")</f>
        <v/>
      </c>
      <c r="AS646">
        <f>HYPERLINK("https://creighton-primo.hosted.exlibrisgroup.com/primo-explore/search?tab=default_tab&amp;search_scope=EVERYTHING&amp;vid=01CRU&amp;lang=en_US&amp;offset=0&amp;query=any,contains,991000965369702656","Catalog Record")</f>
        <v/>
      </c>
      <c r="AT646">
        <f>HYPERLINK("http://www.worldcat.org/oclc/546665","WorldCat Record")</f>
        <v/>
      </c>
    </row>
    <row r="647">
      <c r="A647" t="inlineStr">
        <is>
          <t>No</t>
        </is>
      </c>
      <c r="B647" t="inlineStr">
        <is>
          <t>QV 736 S655pa 1981</t>
        </is>
      </c>
      <c r="C647" t="inlineStr">
        <is>
          <t>0                      QV 0736000S  655pa       1981</t>
        </is>
      </c>
      <c r="D647" t="inlineStr">
        <is>
          <t>Pharmacy, drugs, and medical care / Mickey C. Smith, David A. Knapp.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Smith, Mickey C.</t>
        </is>
      </c>
      <c r="L647" t="inlineStr">
        <is>
          <t>Baltimore : Williams &amp; Wilkins, c1981.</t>
        </is>
      </c>
      <c r="M647" t="inlineStr">
        <is>
          <t>1981</t>
        </is>
      </c>
      <c r="N647" t="inlineStr">
        <is>
          <t>3d ed.</t>
        </is>
      </c>
      <c r="O647" t="inlineStr">
        <is>
          <t>eng</t>
        </is>
      </c>
      <c r="P647" t="inlineStr">
        <is>
          <t>xxu</t>
        </is>
      </c>
      <c r="R647" t="inlineStr">
        <is>
          <t xml:space="preserve">QV </t>
        </is>
      </c>
      <c r="S647" t="n">
        <v>2</v>
      </c>
      <c r="T647" t="n">
        <v>2</v>
      </c>
      <c r="U647" t="inlineStr">
        <is>
          <t>1995-10-06</t>
        </is>
      </c>
      <c r="V647" t="inlineStr">
        <is>
          <t>1995-10-06</t>
        </is>
      </c>
      <c r="W647" t="inlineStr">
        <is>
          <t>1988-02-09</t>
        </is>
      </c>
      <c r="X647" t="inlineStr">
        <is>
          <t>1988-02-09</t>
        </is>
      </c>
      <c r="Y647" t="n">
        <v>85</v>
      </c>
      <c r="Z647" t="n">
        <v>61</v>
      </c>
      <c r="AA647" t="n">
        <v>207</v>
      </c>
      <c r="AB647" t="n">
        <v>1</v>
      </c>
      <c r="AC647" t="n">
        <v>3</v>
      </c>
      <c r="AD647" t="n">
        <v>1</v>
      </c>
      <c r="AE647" t="n">
        <v>6</v>
      </c>
      <c r="AF647" t="n">
        <v>0</v>
      </c>
      <c r="AG647" t="n">
        <v>3</v>
      </c>
      <c r="AH647" t="n">
        <v>1</v>
      </c>
      <c r="AI647" t="n">
        <v>1</v>
      </c>
      <c r="AJ647" t="n">
        <v>0</v>
      </c>
      <c r="AK647" t="n">
        <v>1</v>
      </c>
      <c r="AL647" t="n">
        <v>0</v>
      </c>
      <c r="AM647" t="n">
        <v>2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HYPERLINK("http://catalog.hathitrust.org/Record/000303758","HathiTrust Record")</f>
        <v/>
      </c>
      <c r="AS647">
        <f>HYPERLINK("https://creighton-primo.hosted.exlibrisgroup.com/primo-explore/search?tab=default_tab&amp;search_scope=EVERYTHING&amp;vid=01CRU&amp;lang=en_US&amp;offset=0&amp;query=any,contains,991000965399702656","Catalog Record")</f>
        <v/>
      </c>
      <c r="AT647">
        <f>HYPERLINK("http://www.worldcat.org/oclc/6889343","WorldCat Record")</f>
        <v/>
      </c>
    </row>
    <row r="648">
      <c r="A648" t="inlineStr">
        <is>
          <t>No</t>
        </is>
      </c>
      <c r="B648" t="inlineStr">
        <is>
          <t>QV 736 S756m 1994</t>
        </is>
      </c>
      <c r="C648" t="inlineStr">
        <is>
          <t>0                      QV 0736000S  756m        1994</t>
        </is>
      </c>
      <c r="D648" t="inlineStr">
        <is>
          <t>Multinational pharmaceutical companies : principles and practices / Bert Spilker.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Spilker, Bert.</t>
        </is>
      </c>
      <c r="L648" t="inlineStr">
        <is>
          <t>New York : Raven Press, c1994.</t>
        </is>
      </c>
      <c r="M648" t="inlineStr">
        <is>
          <t>1994</t>
        </is>
      </c>
      <c r="N648" t="inlineStr">
        <is>
          <t>2nd ed.</t>
        </is>
      </c>
      <c r="O648" t="inlineStr">
        <is>
          <t>eng</t>
        </is>
      </c>
      <c r="P648" t="inlineStr">
        <is>
          <t>nyu</t>
        </is>
      </c>
      <c r="R648" t="inlineStr">
        <is>
          <t xml:space="preserve">QV </t>
        </is>
      </c>
      <c r="S648" t="n">
        <v>12</v>
      </c>
      <c r="T648" t="n">
        <v>12</v>
      </c>
      <c r="U648" t="inlineStr">
        <is>
          <t>2006-10-03</t>
        </is>
      </c>
      <c r="V648" t="inlineStr">
        <is>
          <t>2006-10-03</t>
        </is>
      </c>
      <c r="W648" t="inlineStr">
        <is>
          <t>1994-06-08</t>
        </is>
      </c>
      <c r="X648" t="inlineStr">
        <is>
          <t>1994-06-08</t>
        </is>
      </c>
      <c r="Y648" t="n">
        <v>173</v>
      </c>
      <c r="Z648" t="n">
        <v>128</v>
      </c>
      <c r="AA648" t="n">
        <v>131</v>
      </c>
      <c r="AB648" t="n">
        <v>2</v>
      </c>
      <c r="AC648" t="n">
        <v>2</v>
      </c>
      <c r="AD648" t="n">
        <v>7</v>
      </c>
      <c r="AE648" t="n">
        <v>7</v>
      </c>
      <c r="AF648" t="n">
        <v>3</v>
      </c>
      <c r="AG648" t="n">
        <v>3</v>
      </c>
      <c r="AH648" t="n">
        <v>3</v>
      </c>
      <c r="AI648" t="n">
        <v>3</v>
      </c>
      <c r="AJ648" t="n">
        <v>3</v>
      </c>
      <c r="AK648" t="n">
        <v>3</v>
      </c>
      <c r="AL648" t="n">
        <v>1</v>
      </c>
      <c r="AM648" t="n">
        <v>1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HYPERLINK("http://catalog.hathitrust.org/Record/002865289","HathiTrust Record")</f>
        <v/>
      </c>
      <c r="AS648">
        <f>HYPERLINK("https://creighton-primo.hosted.exlibrisgroup.com/primo-explore/search?tab=default_tab&amp;search_scope=EVERYTHING&amp;vid=01CRU&amp;lang=en_US&amp;offset=0&amp;query=any,contains,991001193719702656","Catalog Record")</f>
        <v/>
      </c>
      <c r="AT648">
        <f>HYPERLINK("http://www.worldcat.org/oclc/28587230","WorldCat Record")</f>
        <v/>
      </c>
    </row>
    <row r="649">
      <c r="A649" t="inlineStr">
        <is>
          <t>No</t>
        </is>
      </c>
      <c r="B649" t="inlineStr">
        <is>
          <t>QV 737 D257p 1967</t>
        </is>
      </c>
      <c r="C649" t="inlineStr">
        <is>
          <t>0                      QV 0737000D  257p        1967</t>
        </is>
      </c>
      <c r="D649" t="inlineStr">
        <is>
          <t>The Pharmaceutical industry : a personal study : a medical, economic, and political survey of the world-wide pharmaceutical industry.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Davies, Wyndham, 1926-1984</t>
        </is>
      </c>
      <c r="L649" t="inlineStr">
        <is>
          <t>Oxford ; New York : Pergamon Press, 1967.</t>
        </is>
      </c>
      <c r="M649" t="inlineStr">
        <is>
          <t>1967</t>
        </is>
      </c>
      <c r="N649" t="inlineStr">
        <is>
          <t>[1st ed.]</t>
        </is>
      </c>
      <c r="O649" t="inlineStr">
        <is>
          <t>eng</t>
        </is>
      </c>
      <c r="P649" t="inlineStr">
        <is>
          <t>enk</t>
        </is>
      </c>
      <c r="R649" t="inlineStr">
        <is>
          <t xml:space="preserve">QV </t>
        </is>
      </c>
      <c r="S649" t="n">
        <v>4</v>
      </c>
      <c r="T649" t="n">
        <v>4</v>
      </c>
      <c r="U649" t="inlineStr">
        <is>
          <t>2002-07-08</t>
        </is>
      </c>
      <c r="V649" t="inlineStr">
        <is>
          <t>2002-07-08</t>
        </is>
      </c>
      <c r="W649" t="inlineStr">
        <is>
          <t>1988-03-27</t>
        </is>
      </c>
      <c r="X649" t="inlineStr">
        <is>
          <t>1988-03-27</t>
        </is>
      </c>
      <c r="Y649" t="n">
        <v>275</v>
      </c>
      <c r="Z649" t="n">
        <v>192</v>
      </c>
      <c r="AA649" t="n">
        <v>195</v>
      </c>
      <c r="AB649" t="n">
        <v>2</v>
      </c>
      <c r="AC649" t="n">
        <v>2</v>
      </c>
      <c r="AD649" t="n">
        <v>7</v>
      </c>
      <c r="AE649" t="n">
        <v>7</v>
      </c>
      <c r="AF649" t="n">
        <v>3</v>
      </c>
      <c r="AG649" t="n">
        <v>3</v>
      </c>
      <c r="AH649" t="n">
        <v>2</v>
      </c>
      <c r="AI649" t="n">
        <v>2</v>
      </c>
      <c r="AJ649" t="n">
        <v>2</v>
      </c>
      <c r="AK649" t="n">
        <v>2</v>
      </c>
      <c r="AL649" t="n">
        <v>1</v>
      </c>
      <c r="AM649" t="n">
        <v>1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HYPERLINK("http://catalog.hathitrust.org/Record/001108536","HathiTrust Record")</f>
        <v/>
      </c>
      <c r="AS649">
        <f>HYPERLINK("https://creighton-primo.hosted.exlibrisgroup.com/primo-explore/search?tab=default_tab&amp;search_scope=EVERYTHING&amp;vid=01CRU&amp;lang=en_US&amp;offset=0&amp;query=any,contains,991000965429702656","Catalog Record")</f>
        <v/>
      </c>
      <c r="AT649">
        <f>HYPERLINK("http://www.worldcat.org/oclc/489576","WorldCat Record")</f>
        <v/>
      </c>
    </row>
    <row r="650">
      <c r="A650" t="inlineStr">
        <is>
          <t>No</t>
        </is>
      </c>
      <c r="B650" t="inlineStr">
        <is>
          <t>QV737 D475p 2005</t>
        </is>
      </c>
      <c r="C650" t="inlineStr">
        <is>
          <t>0                      QV 0737000D  475p        2005</t>
        </is>
      </c>
      <c r="D650" t="inlineStr">
        <is>
          <t>Pharmacy management : essentials for all practice settings / Shane P. Desselle and David P. Zgarrick.</t>
        </is>
      </c>
      <c r="F650" t="inlineStr">
        <is>
          <t>No</t>
        </is>
      </c>
      <c r="G650" t="inlineStr">
        <is>
          <t>1</t>
        </is>
      </c>
      <c r="H650" t="inlineStr">
        <is>
          <t>Yes</t>
        </is>
      </c>
      <c r="I650" t="inlineStr">
        <is>
          <t>Yes</t>
        </is>
      </c>
      <c r="J650" t="inlineStr">
        <is>
          <t>3</t>
        </is>
      </c>
      <c r="K650" t="inlineStr">
        <is>
          <t>Desselle, Shane P.</t>
        </is>
      </c>
      <c r="L650" t="inlineStr">
        <is>
          <t>New York : McGraw-Hill, c2005.</t>
        </is>
      </c>
      <c r="M650" t="inlineStr">
        <is>
          <t>2005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QV </t>
        </is>
      </c>
      <c r="S650" t="n">
        <v>88</v>
      </c>
      <c r="T650" t="n">
        <v>102</v>
      </c>
      <c r="U650" t="inlineStr">
        <is>
          <t>2008-05-05</t>
        </is>
      </c>
      <c r="V650" t="inlineStr">
        <is>
          <t>2009-05-02</t>
        </is>
      </c>
      <c r="W650" t="inlineStr">
        <is>
          <t>2005-01-14</t>
        </is>
      </c>
      <c r="X650" t="inlineStr">
        <is>
          <t>2005-02-03</t>
        </is>
      </c>
      <c r="Y650" t="n">
        <v>100</v>
      </c>
      <c r="Z650" t="n">
        <v>54</v>
      </c>
      <c r="AA650" t="n">
        <v>546</v>
      </c>
      <c r="AB650" t="n">
        <v>1</v>
      </c>
      <c r="AC650" t="n">
        <v>22</v>
      </c>
      <c r="AD650" t="n">
        <v>1</v>
      </c>
      <c r="AE650" t="n">
        <v>19</v>
      </c>
      <c r="AF650" t="n">
        <v>0</v>
      </c>
      <c r="AG650" t="n">
        <v>6</v>
      </c>
      <c r="AH650" t="n">
        <v>1</v>
      </c>
      <c r="AI650" t="n">
        <v>3</v>
      </c>
      <c r="AJ650" t="n">
        <v>0</v>
      </c>
      <c r="AK650" t="n">
        <v>2</v>
      </c>
      <c r="AL650" t="n">
        <v>0</v>
      </c>
      <c r="AM650" t="n">
        <v>10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HYPERLINK("http://catalog.hathitrust.org/Record/004929869","HathiTrust Record")</f>
        <v/>
      </c>
      <c r="AS650">
        <f>HYPERLINK("https://creighton-primo.hosted.exlibrisgroup.com/primo-explore/search?tab=default_tab&amp;search_scope=EVERYTHING&amp;vid=01CRU&amp;lang=en_US&amp;offset=0&amp;query=any,contains,991000422859702656","Catalog Record")</f>
        <v/>
      </c>
      <c r="AT650">
        <f>HYPERLINK("http://www.worldcat.org/oclc/56011324","WorldCat Record")</f>
        <v/>
      </c>
    </row>
    <row r="651">
      <c r="A651" t="inlineStr">
        <is>
          <t>No</t>
        </is>
      </c>
      <c r="B651" t="inlineStr">
        <is>
          <t>QV 737 M2648 1999</t>
        </is>
      </c>
      <c r="C651" t="inlineStr">
        <is>
          <t>0                      QV 0737000M  2648        1999</t>
        </is>
      </c>
      <c r="D651" t="inlineStr">
        <is>
          <t>Managed care pharmacy practice / [edited by] Robert P. Navarro.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Gaithersburg, Md. : Aspen Publishers, c1999.</t>
        </is>
      </c>
      <c r="M651" t="inlineStr">
        <is>
          <t>1999</t>
        </is>
      </c>
      <c r="O651" t="inlineStr">
        <is>
          <t>eng</t>
        </is>
      </c>
      <c r="P651" t="inlineStr">
        <is>
          <t>mdu</t>
        </is>
      </c>
      <c r="R651" t="inlineStr">
        <is>
          <t xml:space="preserve">QV </t>
        </is>
      </c>
      <c r="S651" t="n">
        <v>33</v>
      </c>
      <c r="T651" t="n">
        <v>33</v>
      </c>
      <c r="U651" t="inlineStr">
        <is>
          <t>2005-09-13</t>
        </is>
      </c>
      <c r="V651" t="inlineStr">
        <is>
          <t>2005-09-13</t>
        </is>
      </c>
      <c r="W651" t="inlineStr">
        <is>
          <t>1999-08-26</t>
        </is>
      </c>
      <c r="X651" t="inlineStr">
        <is>
          <t>1999-08-26</t>
        </is>
      </c>
      <c r="Y651" t="n">
        <v>61</v>
      </c>
      <c r="Z651" t="n">
        <v>55</v>
      </c>
      <c r="AA651" t="n">
        <v>120</v>
      </c>
      <c r="AB651" t="n">
        <v>1</v>
      </c>
      <c r="AC651" t="n">
        <v>1</v>
      </c>
      <c r="AD651" t="n">
        <v>2</v>
      </c>
      <c r="AE651" t="n">
        <v>7</v>
      </c>
      <c r="AF651" t="n">
        <v>1</v>
      </c>
      <c r="AG651" t="n">
        <v>4</v>
      </c>
      <c r="AH651" t="n">
        <v>1</v>
      </c>
      <c r="AI651" t="n">
        <v>1</v>
      </c>
      <c r="AJ651" t="n">
        <v>0</v>
      </c>
      <c r="AK651" t="n">
        <v>3</v>
      </c>
      <c r="AL651" t="n">
        <v>0</v>
      </c>
      <c r="AM651" t="n">
        <v>0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HYPERLINK("http://catalog.hathitrust.org/Record/004059522","HathiTrust Record")</f>
        <v/>
      </c>
      <c r="AS651">
        <f>HYPERLINK("https://creighton-primo.hosted.exlibrisgroup.com/primo-explore/search?tab=default_tab&amp;search_scope=EVERYTHING&amp;vid=01CRU&amp;lang=en_US&amp;offset=0&amp;query=any,contains,991000797549702656","Catalog Record")</f>
        <v/>
      </c>
      <c r="AT651">
        <f>HYPERLINK("http://www.worldcat.org/oclc/41482478","WorldCat Record")</f>
        <v/>
      </c>
    </row>
    <row r="652">
      <c r="A652" t="inlineStr">
        <is>
          <t>No</t>
        </is>
      </c>
      <c r="B652" t="inlineStr">
        <is>
          <t>QV 737 M265 1999</t>
        </is>
      </c>
      <c r="C652" t="inlineStr">
        <is>
          <t>0                      QV 0737000M  265         1999</t>
        </is>
      </c>
      <c r="D652" t="inlineStr">
        <is>
          <t>Managed care pharmacy : principles and practice / Albert I. Wertheimer, Robert Navarro, editors.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 York : Pharmaceutical Products Press, c1999.</t>
        </is>
      </c>
      <c r="M652" t="inlineStr">
        <is>
          <t>1999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QV </t>
        </is>
      </c>
      <c r="S652" t="n">
        <v>13</v>
      </c>
      <c r="T652" t="n">
        <v>13</v>
      </c>
      <c r="U652" t="inlineStr">
        <is>
          <t>2006-12-05</t>
        </is>
      </c>
      <c r="V652" t="inlineStr">
        <is>
          <t>2006-12-05</t>
        </is>
      </c>
      <c r="W652" t="inlineStr">
        <is>
          <t>1999-09-09</t>
        </is>
      </c>
      <c r="X652" t="inlineStr">
        <is>
          <t>1999-09-09</t>
        </is>
      </c>
      <c r="Y652" t="n">
        <v>87</v>
      </c>
      <c r="Z652" t="n">
        <v>68</v>
      </c>
      <c r="AA652" t="n">
        <v>75</v>
      </c>
      <c r="AB652" t="n">
        <v>1</v>
      </c>
      <c r="AC652" t="n">
        <v>1</v>
      </c>
      <c r="AD652" t="n">
        <v>2</v>
      </c>
      <c r="AE652" t="n">
        <v>2</v>
      </c>
      <c r="AF652" t="n">
        <v>0</v>
      </c>
      <c r="AG652" t="n">
        <v>0</v>
      </c>
      <c r="AH652" t="n">
        <v>1</v>
      </c>
      <c r="AI652" t="n">
        <v>1</v>
      </c>
      <c r="AJ652" t="n">
        <v>1</v>
      </c>
      <c r="AK652" t="n">
        <v>1</v>
      </c>
      <c r="AL652" t="n">
        <v>0</v>
      </c>
      <c r="AM652" t="n">
        <v>0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HYPERLINK("http://catalog.hathitrust.org/Record/004026770","HathiTrust Record")</f>
        <v/>
      </c>
      <c r="AS652">
        <f>HYPERLINK("https://creighton-primo.hosted.exlibrisgroup.com/primo-explore/search?tab=default_tab&amp;search_scope=EVERYTHING&amp;vid=01CRU&amp;lang=en_US&amp;offset=0&amp;query=any,contains,991001564409702656","Catalog Record")</f>
        <v/>
      </c>
      <c r="AT652">
        <f>HYPERLINK("http://www.worldcat.org/oclc/40200352","WorldCat Record")</f>
        <v/>
      </c>
    </row>
    <row r="653">
      <c r="A653" t="inlineStr">
        <is>
          <t>No</t>
        </is>
      </c>
      <c r="B653" t="inlineStr">
        <is>
          <t>QV 737 P534 1996</t>
        </is>
      </c>
      <c r="C653" t="inlineStr">
        <is>
          <t>0                      QV 0737000P  534         1996</t>
        </is>
      </c>
      <c r="D653" t="inlineStr">
        <is>
          <t>Pharmaceutical care / edited by Calvin H. Knowlton &amp; Richard P. Penna.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Yes</t>
        </is>
      </c>
      <c r="J653" t="inlineStr">
        <is>
          <t>0</t>
        </is>
      </c>
      <c r="L653" t="inlineStr">
        <is>
          <t>New York : Chapman &amp; Hall, c1996.</t>
        </is>
      </c>
      <c r="M653" t="inlineStr">
        <is>
          <t>1996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QV </t>
        </is>
      </c>
      <c r="S653" t="n">
        <v>20</v>
      </c>
      <c r="T653" t="n">
        <v>20</v>
      </c>
      <c r="U653" t="inlineStr">
        <is>
          <t>2002-09-27</t>
        </is>
      </c>
      <c r="V653" t="inlineStr">
        <is>
          <t>2002-09-27</t>
        </is>
      </c>
      <c r="W653" t="inlineStr">
        <is>
          <t>2000-03-30</t>
        </is>
      </c>
      <c r="X653" t="inlineStr">
        <is>
          <t>2000-03-30</t>
        </is>
      </c>
      <c r="Y653" t="n">
        <v>76</v>
      </c>
      <c r="Z653" t="n">
        <v>55</v>
      </c>
      <c r="AA653" t="n">
        <v>111</v>
      </c>
      <c r="AB653" t="n">
        <v>1</v>
      </c>
      <c r="AC653" t="n">
        <v>1</v>
      </c>
      <c r="AD653" t="n">
        <v>3</v>
      </c>
      <c r="AE653" t="n">
        <v>7</v>
      </c>
      <c r="AF653" t="n">
        <v>2</v>
      </c>
      <c r="AG653" t="n">
        <v>5</v>
      </c>
      <c r="AH653" t="n">
        <v>1</v>
      </c>
      <c r="AI653" t="n">
        <v>2</v>
      </c>
      <c r="AJ653" t="n">
        <v>0</v>
      </c>
      <c r="AK653" t="n">
        <v>2</v>
      </c>
      <c r="AL653" t="n">
        <v>0</v>
      </c>
      <c r="AM653" t="n">
        <v>0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HYPERLINK("https://creighton-primo.hosted.exlibrisgroup.com/primo-explore/search?tab=default_tab&amp;search_scope=EVERYTHING&amp;vid=01CRU&amp;lang=en_US&amp;offset=0&amp;query=any,contains,991001442619702656","Catalog Record")</f>
        <v/>
      </c>
      <c r="AT653">
        <f>HYPERLINK("http://www.worldcat.org/oclc/32351943","WorldCat Record")</f>
        <v/>
      </c>
    </row>
    <row r="654">
      <c r="A654" t="inlineStr">
        <is>
          <t>No</t>
        </is>
      </c>
      <c r="B654" t="inlineStr">
        <is>
          <t>QV737 P534 2003</t>
        </is>
      </c>
      <c r="C654" t="inlineStr">
        <is>
          <t>0                      QV 0737000P  534         2003</t>
        </is>
      </c>
      <c r="D654" t="inlineStr">
        <is>
          <t>Pharmaceutical care / [edited by] Calvin H. Knowlton, Richard P. Penna.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Yes</t>
        </is>
      </c>
      <c r="J654" t="inlineStr">
        <is>
          <t>0</t>
        </is>
      </c>
      <c r="L654" t="inlineStr">
        <is>
          <t>Bethesda, MD : American Society of Health-System Pharmacists, c2003.</t>
        </is>
      </c>
      <c r="M654" t="inlineStr">
        <is>
          <t>2003</t>
        </is>
      </c>
      <c r="N654" t="inlineStr">
        <is>
          <t>2nd ed.</t>
        </is>
      </c>
      <c r="O654" t="inlineStr">
        <is>
          <t>eng</t>
        </is>
      </c>
      <c r="P654" t="inlineStr">
        <is>
          <t>mdu</t>
        </is>
      </c>
      <c r="R654" t="inlineStr">
        <is>
          <t xml:space="preserve">QV </t>
        </is>
      </c>
      <c r="S654" t="n">
        <v>3</v>
      </c>
      <c r="T654" t="n">
        <v>3</v>
      </c>
      <c r="U654" t="inlineStr">
        <is>
          <t>2006-02-09</t>
        </is>
      </c>
      <c r="V654" t="inlineStr">
        <is>
          <t>2006-02-09</t>
        </is>
      </c>
      <c r="W654" t="inlineStr">
        <is>
          <t>2003-01-27</t>
        </is>
      </c>
      <c r="X654" t="inlineStr">
        <is>
          <t>2003-01-27</t>
        </is>
      </c>
      <c r="Y654" t="n">
        <v>99</v>
      </c>
      <c r="Z654" t="n">
        <v>69</v>
      </c>
      <c r="AA654" t="n">
        <v>111</v>
      </c>
      <c r="AB654" t="n">
        <v>1</v>
      </c>
      <c r="AC654" t="n">
        <v>1</v>
      </c>
      <c r="AD654" t="n">
        <v>4</v>
      </c>
      <c r="AE654" t="n">
        <v>7</v>
      </c>
      <c r="AF654" t="n">
        <v>3</v>
      </c>
      <c r="AG654" t="n">
        <v>5</v>
      </c>
      <c r="AH654" t="n">
        <v>1</v>
      </c>
      <c r="AI654" t="n">
        <v>2</v>
      </c>
      <c r="AJ654" t="n">
        <v>2</v>
      </c>
      <c r="AK654" t="n">
        <v>2</v>
      </c>
      <c r="AL654" t="n">
        <v>0</v>
      </c>
      <c r="AM654" t="n">
        <v>0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HYPERLINK("http://catalog.hathitrust.org/Record/003816985","HathiTrust Record")</f>
        <v/>
      </c>
      <c r="AS654">
        <f>HYPERLINK("https://creighton-primo.hosted.exlibrisgroup.com/primo-explore/search?tab=default_tab&amp;search_scope=EVERYTHING&amp;vid=01CRU&amp;lang=en_US&amp;offset=0&amp;query=any,contains,991000337629702656","Catalog Record")</f>
        <v/>
      </c>
      <c r="AT654">
        <f>HYPERLINK("http://www.worldcat.org/oclc/50680535","WorldCat Record")</f>
        <v/>
      </c>
    </row>
    <row r="655">
      <c r="A655" t="inlineStr">
        <is>
          <t>No</t>
        </is>
      </c>
      <c r="B655" t="inlineStr">
        <is>
          <t>QV 737 P5345 1991</t>
        </is>
      </c>
      <c r="C655" t="inlineStr">
        <is>
          <t>0                      QV 0737000P  5345        1991</t>
        </is>
      </c>
      <c r="D655" t="inlineStr">
        <is>
          <t>Pharmacy and the U.S. health care system / Jack E. Fincham and Albert I. Wertheimer, editors.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Yes</t>
        </is>
      </c>
      <c r="J655" t="inlineStr">
        <is>
          <t>0</t>
        </is>
      </c>
      <c r="L655" t="inlineStr">
        <is>
          <t>Binghamton, NY : Pharmaceutical Products Press, c1991.</t>
        </is>
      </c>
      <c r="M655" t="inlineStr">
        <is>
          <t>1991</t>
        </is>
      </c>
      <c r="O655" t="inlineStr">
        <is>
          <t>eng</t>
        </is>
      </c>
      <c r="P655" t="inlineStr">
        <is>
          <t>nyu</t>
        </is>
      </c>
      <c r="R655" t="inlineStr">
        <is>
          <t xml:space="preserve">QV </t>
        </is>
      </c>
      <c r="S655" t="n">
        <v>53</v>
      </c>
      <c r="T655" t="n">
        <v>53</v>
      </c>
      <c r="U655" t="inlineStr">
        <is>
          <t>2006-09-22</t>
        </is>
      </c>
      <c r="V655" t="inlineStr">
        <is>
          <t>2006-09-22</t>
        </is>
      </c>
      <c r="W655" t="inlineStr">
        <is>
          <t>1991-09-20</t>
        </is>
      </c>
      <c r="X655" t="inlineStr">
        <is>
          <t>1991-09-20</t>
        </is>
      </c>
      <c r="Y655" t="n">
        <v>148</v>
      </c>
      <c r="Z655" t="n">
        <v>121</v>
      </c>
      <c r="AA655" t="n">
        <v>308</v>
      </c>
      <c r="AB655" t="n">
        <v>2</v>
      </c>
      <c r="AC655" t="n">
        <v>4</v>
      </c>
      <c r="AD655" t="n">
        <v>4</v>
      </c>
      <c r="AE655" t="n">
        <v>16</v>
      </c>
      <c r="AF655" t="n">
        <v>1</v>
      </c>
      <c r="AG655" t="n">
        <v>7</v>
      </c>
      <c r="AH655" t="n">
        <v>3</v>
      </c>
      <c r="AI655" t="n">
        <v>4</v>
      </c>
      <c r="AJ655" t="n">
        <v>1</v>
      </c>
      <c r="AK655" t="n">
        <v>5</v>
      </c>
      <c r="AL655" t="n">
        <v>0</v>
      </c>
      <c r="AM655" t="n">
        <v>2</v>
      </c>
      <c r="AN655" t="n">
        <v>1</v>
      </c>
      <c r="AO655" t="n">
        <v>2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HYPERLINK("http://catalog.hathitrust.org/Record/002500856","HathiTrust Record")</f>
        <v/>
      </c>
      <c r="AS655">
        <f>HYPERLINK("https://creighton-primo.hosted.exlibrisgroup.com/primo-explore/search?tab=default_tab&amp;search_scope=EVERYTHING&amp;vid=01CRU&amp;lang=en_US&amp;offset=0&amp;query=any,contains,991001013699702656","Catalog Record")</f>
        <v/>
      </c>
      <c r="AT655">
        <f>HYPERLINK("http://www.worldcat.org/oclc/22208754","WorldCat Record")</f>
        <v/>
      </c>
    </row>
    <row r="656">
      <c r="A656" t="inlineStr">
        <is>
          <t>No</t>
        </is>
      </c>
      <c r="B656" t="inlineStr">
        <is>
          <t>QV737 P5345 2005</t>
        </is>
      </c>
      <c r="C656" t="inlineStr">
        <is>
          <t>0                      QV 0737000P  5345        2005</t>
        </is>
      </c>
      <c r="D656" t="inlineStr">
        <is>
          <t>Pharmacy and the U.S. health care system / Michael Ira Smith, Albert I. Wertheimer, Jack E. Fincham, editors.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Yes</t>
        </is>
      </c>
      <c r="J656" t="inlineStr">
        <is>
          <t>0</t>
        </is>
      </c>
      <c r="L656" t="inlineStr">
        <is>
          <t>New York : Pharmaceutical Products Press, c2005.</t>
        </is>
      </c>
      <c r="M656" t="inlineStr">
        <is>
          <t>2005</t>
        </is>
      </c>
      <c r="N656" t="inlineStr">
        <is>
          <t>3rd ed.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QV </t>
        </is>
      </c>
      <c r="S656" t="n">
        <v>5</v>
      </c>
      <c r="T656" t="n">
        <v>5</v>
      </c>
      <c r="U656" t="inlineStr">
        <is>
          <t>2010-09-08</t>
        </is>
      </c>
      <c r="V656" t="inlineStr">
        <is>
          <t>2010-09-08</t>
        </is>
      </c>
      <c r="W656" t="inlineStr">
        <is>
          <t>2005-10-28</t>
        </is>
      </c>
      <c r="X656" t="inlineStr">
        <is>
          <t>2005-10-28</t>
        </is>
      </c>
      <c r="Y656" t="n">
        <v>125</v>
      </c>
      <c r="Z656" t="n">
        <v>110</v>
      </c>
      <c r="AA656" t="n">
        <v>308</v>
      </c>
      <c r="AB656" t="n">
        <v>2</v>
      </c>
      <c r="AC656" t="n">
        <v>4</v>
      </c>
      <c r="AD656" t="n">
        <v>8</v>
      </c>
      <c r="AE656" t="n">
        <v>16</v>
      </c>
      <c r="AF656" t="n">
        <v>4</v>
      </c>
      <c r="AG656" t="n">
        <v>7</v>
      </c>
      <c r="AH656" t="n">
        <v>2</v>
      </c>
      <c r="AI656" t="n">
        <v>4</v>
      </c>
      <c r="AJ656" t="n">
        <v>3</v>
      </c>
      <c r="AK656" t="n">
        <v>5</v>
      </c>
      <c r="AL656" t="n">
        <v>1</v>
      </c>
      <c r="AM656" t="n">
        <v>2</v>
      </c>
      <c r="AN656" t="n">
        <v>0</v>
      </c>
      <c r="AO656" t="n">
        <v>2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HYPERLINK("https://creighton-primo.hosted.exlibrisgroup.com/primo-explore/search?tab=default_tab&amp;search_scope=EVERYTHING&amp;vid=01CRU&amp;lang=en_US&amp;offset=0&amp;query=any,contains,991000446669702656","Catalog Record")</f>
        <v/>
      </c>
      <c r="AT656">
        <f>HYPERLINK("http://www.worldcat.org/oclc/57405371","WorldCat Record")</f>
        <v/>
      </c>
    </row>
    <row r="657">
      <c r="A657" t="inlineStr">
        <is>
          <t>No</t>
        </is>
      </c>
      <c r="B657" t="inlineStr">
        <is>
          <t>QV737 P8949 2003</t>
        </is>
      </c>
      <c r="C657" t="inlineStr">
        <is>
          <t>0                      QV 0737000P  8949        2003</t>
        </is>
      </c>
      <c r="D657" t="inlineStr">
        <is>
          <t>A practical guide to pharmaceutical care / John P. Rovers ... [et al.], editors.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Yes</t>
        </is>
      </c>
      <c r="J657" t="inlineStr">
        <is>
          <t>0</t>
        </is>
      </c>
      <c r="L657" t="inlineStr">
        <is>
          <t>Washington, D.C. : American Pharmaceutical Association, 2003.</t>
        </is>
      </c>
      <c r="M657" t="inlineStr">
        <is>
          <t>2003</t>
        </is>
      </c>
      <c r="N657" t="inlineStr">
        <is>
          <t>2nd ed.</t>
        </is>
      </c>
      <c r="O657" t="inlineStr">
        <is>
          <t>eng</t>
        </is>
      </c>
      <c r="P657" t="inlineStr">
        <is>
          <t>dcu</t>
        </is>
      </c>
      <c r="R657" t="inlineStr">
        <is>
          <t xml:space="preserve">QV </t>
        </is>
      </c>
      <c r="S657" t="n">
        <v>10</v>
      </c>
      <c r="T657" t="n">
        <v>10</v>
      </c>
      <c r="U657" t="inlineStr">
        <is>
          <t>2007-11-14</t>
        </is>
      </c>
      <c r="V657" t="inlineStr">
        <is>
          <t>2007-11-14</t>
        </is>
      </c>
      <c r="W657" t="inlineStr">
        <is>
          <t>2003-06-30</t>
        </is>
      </c>
      <c r="X657" t="inlineStr">
        <is>
          <t>2003-06-30</t>
        </is>
      </c>
      <c r="Y657" t="n">
        <v>95</v>
      </c>
      <c r="Z657" t="n">
        <v>60</v>
      </c>
      <c r="AA657" t="n">
        <v>116</v>
      </c>
      <c r="AB657" t="n">
        <v>1</v>
      </c>
      <c r="AC657" t="n">
        <v>1</v>
      </c>
      <c r="AD657" t="n">
        <v>2</v>
      </c>
      <c r="AE657" t="n">
        <v>6</v>
      </c>
      <c r="AF657" t="n">
        <v>2</v>
      </c>
      <c r="AG657" t="n">
        <v>4</v>
      </c>
      <c r="AH657" t="n">
        <v>1</v>
      </c>
      <c r="AI657" t="n">
        <v>2</v>
      </c>
      <c r="AJ657" t="n">
        <v>0</v>
      </c>
      <c r="AK657" t="n">
        <v>2</v>
      </c>
      <c r="AL657" t="n">
        <v>0</v>
      </c>
      <c r="AM657" t="n">
        <v>0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HYPERLINK("http://catalog.hathitrust.org/Record/004323216","HathiTrust Record")</f>
        <v/>
      </c>
      <c r="AS657">
        <f>HYPERLINK("https://creighton-primo.hosted.exlibrisgroup.com/primo-explore/search?tab=default_tab&amp;search_scope=EVERYTHING&amp;vid=01CRU&amp;lang=en_US&amp;offset=0&amp;query=any,contains,991000352389702656","Catalog Record")</f>
        <v/>
      </c>
      <c r="AT657">
        <f>HYPERLINK("http://www.worldcat.org/oclc/51553581","WorldCat Record")</f>
        <v/>
      </c>
    </row>
    <row r="658">
      <c r="A658" t="inlineStr">
        <is>
          <t>No</t>
        </is>
      </c>
      <c r="B658" t="inlineStr">
        <is>
          <t>QV 737 P8949 2007</t>
        </is>
      </c>
      <c r="C658" t="inlineStr">
        <is>
          <t>0                      QV 0737000P  8949        2007</t>
        </is>
      </c>
      <c r="D658" t="inlineStr">
        <is>
          <t>A practical guide to pharmaceutical care : a clinical skills primer / John P. Rovers, Jay D. Currie.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Yes</t>
        </is>
      </c>
      <c r="J658" t="inlineStr">
        <is>
          <t>0</t>
        </is>
      </c>
      <c r="K658" t="inlineStr">
        <is>
          <t>Rovers, John P.</t>
        </is>
      </c>
      <c r="L658" t="inlineStr">
        <is>
          <t>Washington, D.C. : American Pharmacists Association, c2007.</t>
        </is>
      </c>
      <c r="M658" t="inlineStr">
        <is>
          <t>2007</t>
        </is>
      </c>
      <c r="N658" t="inlineStr">
        <is>
          <t>3rd ed.</t>
        </is>
      </c>
      <c r="O658" t="inlineStr">
        <is>
          <t>eng</t>
        </is>
      </c>
      <c r="P658" t="inlineStr">
        <is>
          <t>dcu</t>
        </is>
      </c>
      <c r="R658" t="inlineStr">
        <is>
          <t xml:space="preserve">QV </t>
        </is>
      </c>
      <c r="S658" t="n">
        <v>14</v>
      </c>
      <c r="T658" t="n">
        <v>14</v>
      </c>
      <c r="U658" t="inlineStr">
        <is>
          <t>2009-09-29</t>
        </is>
      </c>
      <c r="V658" t="inlineStr">
        <is>
          <t>2009-09-29</t>
        </is>
      </c>
      <c r="W658" t="inlineStr">
        <is>
          <t>2007-11-14</t>
        </is>
      </c>
      <c r="X658" t="inlineStr">
        <is>
          <t>2007-11-14</t>
        </is>
      </c>
      <c r="Y658" t="n">
        <v>107</v>
      </c>
      <c r="Z658" t="n">
        <v>71</v>
      </c>
      <c r="AA658" t="n">
        <v>116</v>
      </c>
      <c r="AB658" t="n">
        <v>1</v>
      </c>
      <c r="AC658" t="n">
        <v>1</v>
      </c>
      <c r="AD658" t="n">
        <v>5</v>
      </c>
      <c r="AE658" t="n">
        <v>6</v>
      </c>
      <c r="AF658" t="n">
        <v>3</v>
      </c>
      <c r="AG658" t="n">
        <v>4</v>
      </c>
      <c r="AH658" t="n">
        <v>1</v>
      </c>
      <c r="AI658" t="n">
        <v>2</v>
      </c>
      <c r="AJ658" t="n">
        <v>2</v>
      </c>
      <c r="AK658" t="n">
        <v>2</v>
      </c>
      <c r="AL658" t="n">
        <v>0</v>
      </c>
      <c r="AM658" t="n">
        <v>0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HYPERLINK("https://creighton-primo.hosted.exlibrisgroup.com/primo-explore/search?tab=default_tab&amp;search_scope=EVERYTHING&amp;vid=01CRU&amp;lang=en_US&amp;offset=0&amp;query=any,contains,991000660659702656","Catalog Record")</f>
        <v/>
      </c>
      <c r="AT658">
        <f>HYPERLINK("http://www.worldcat.org/oclc/80180950","WorldCat Record")</f>
        <v/>
      </c>
    </row>
    <row r="659">
      <c r="A659" t="inlineStr">
        <is>
          <t>No</t>
        </is>
      </c>
      <c r="B659" t="inlineStr">
        <is>
          <t>QV 738 AA1 P5e 1921</t>
        </is>
      </c>
      <c r="C659" t="inlineStr">
        <is>
          <t>0                      QV 0738000AA 1                  P  5e          1921</t>
        </is>
      </c>
      <c r="D659" t="inlineStr">
        <is>
          <t>Epitome of the Pharmacopeia of the United States and the National formulary, with comments / prepared for the use of physicians under authorization of the Council on Pharmacy and Chemistry of the American Medical Association.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L659" t="inlineStr">
        <is>
          <t>Chicago : American Medical Association, 1921.</t>
        </is>
      </c>
      <c r="M659" t="inlineStr">
        <is>
          <t>1921</t>
        </is>
      </c>
      <c r="N659" t="inlineStr">
        <is>
          <t>2d ed.</t>
        </is>
      </c>
      <c r="O659" t="inlineStr">
        <is>
          <t>eng</t>
        </is>
      </c>
      <c r="P659" t="inlineStr">
        <is>
          <t>xxu</t>
        </is>
      </c>
      <c r="R659" t="inlineStr">
        <is>
          <t xml:space="preserve">QV </t>
        </is>
      </c>
      <c r="S659" t="n">
        <v>0</v>
      </c>
      <c r="T659" t="n">
        <v>0</v>
      </c>
      <c r="U659" t="inlineStr">
        <is>
          <t>2007-02-04</t>
        </is>
      </c>
      <c r="V659" t="inlineStr">
        <is>
          <t>2007-02-04</t>
        </is>
      </c>
      <c r="W659" t="inlineStr">
        <is>
          <t>1988-02-09</t>
        </is>
      </c>
      <c r="X659" t="inlineStr">
        <is>
          <t>1988-02-09</t>
        </is>
      </c>
      <c r="Y659" t="n">
        <v>28</v>
      </c>
      <c r="Z659" t="n">
        <v>27</v>
      </c>
      <c r="AA659" t="n">
        <v>83</v>
      </c>
      <c r="AB659" t="n">
        <v>1</v>
      </c>
      <c r="AC659" t="n">
        <v>1</v>
      </c>
      <c r="AD659" t="n">
        <v>0</v>
      </c>
      <c r="AE659" t="n">
        <v>2</v>
      </c>
      <c r="AF659" t="n">
        <v>0</v>
      </c>
      <c r="AG659" t="n">
        <v>2</v>
      </c>
      <c r="AH659" t="n">
        <v>0</v>
      </c>
      <c r="AI659" t="n">
        <v>1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inlineStr">
        <is>
          <t>Yes</t>
        </is>
      </c>
      <c r="AQ659" t="inlineStr">
        <is>
          <t>No</t>
        </is>
      </c>
      <c r="AR659">
        <f>HYPERLINK("http://catalog.hathitrust.org/Record/009778571","HathiTrust Record")</f>
        <v/>
      </c>
      <c r="AS659">
        <f>HYPERLINK("https://creighton-primo.hosted.exlibrisgroup.com/primo-explore/search?tab=default_tab&amp;search_scope=EVERYTHING&amp;vid=01CRU&amp;lang=en_US&amp;offset=0&amp;query=any,contains,991000965499702656","Catalog Record")</f>
        <v/>
      </c>
      <c r="AT659">
        <f>HYPERLINK("http://www.worldcat.org/oclc/4277891","WorldCat Record")</f>
        <v/>
      </c>
    </row>
    <row r="660">
      <c r="A660" t="inlineStr">
        <is>
          <t>No</t>
        </is>
      </c>
      <c r="B660" t="inlineStr">
        <is>
          <t>QV 738 H754 1992</t>
        </is>
      </c>
      <c r="C660" t="inlineStr">
        <is>
          <t>0                      QV 0738000H  754         1992</t>
        </is>
      </c>
      <c r="D660" t="inlineStr">
        <is>
          <t>The Homoeopathic pharmacopoeia of the United States revision service.</t>
        </is>
      </c>
      <c r="E660" t="inlineStr">
        <is>
          <t>V. 5</t>
        </is>
      </c>
      <c r="F660" t="inlineStr">
        <is>
          <t>Yes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L660" t="inlineStr">
        <is>
          <t>[Washington, D.C.] : Homoeopathic Pharmacopoeia Convention of the United States, c1988-</t>
        </is>
      </c>
      <c r="M660" t="inlineStr">
        <is>
          <t>1988</t>
        </is>
      </c>
      <c r="O660" t="inlineStr">
        <is>
          <t>eng</t>
        </is>
      </c>
      <c r="P660" t="inlineStr">
        <is>
          <t>dcu</t>
        </is>
      </c>
      <c r="R660" t="inlineStr">
        <is>
          <t xml:space="preserve">QV </t>
        </is>
      </c>
      <c r="S660" t="n">
        <v>0</v>
      </c>
      <c r="T660" t="n">
        <v>6</v>
      </c>
      <c r="V660" t="inlineStr">
        <is>
          <t>1993-11-22</t>
        </is>
      </c>
      <c r="W660" t="inlineStr">
        <is>
          <t>1994-06-16</t>
        </is>
      </c>
      <c r="X660" t="inlineStr">
        <is>
          <t>1994-06-16</t>
        </is>
      </c>
      <c r="Y660" t="n">
        <v>13</v>
      </c>
      <c r="Z660" t="n">
        <v>13</v>
      </c>
      <c r="AA660" t="n">
        <v>13</v>
      </c>
      <c r="AB660" t="n">
        <v>1</v>
      </c>
      <c r="AC660" t="n">
        <v>1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0">
        <f>HYPERLINK("http://www.worldcat.org/oclc/21793065","WorldCat Record")</f>
        <v/>
      </c>
    </row>
    <row r="661">
      <c r="A661" t="inlineStr">
        <is>
          <t>No</t>
        </is>
      </c>
      <c r="B661" t="inlineStr">
        <is>
          <t>QV 738 H754 1992</t>
        </is>
      </c>
      <c r="C661" t="inlineStr">
        <is>
          <t>0                      QV 0738000H  754         1992</t>
        </is>
      </c>
      <c r="D661" t="inlineStr">
        <is>
          <t>The Homoeopathic pharmacopoeia of the United States revision service.</t>
        </is>
      </c>
      <c r="E661" t="inlineStr">
        <is>
          <t>V. 3</t>
        </is>
      </c>
      <c r="F661" t="inlineStr">
        <is>
          <t>Yes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L661" t="inlineStr">
        <is>
          <t>[Washington, D.C.] : Homoeopathic Pharmacopoeia Convention of the United States, c1988-</t>
        </is>
      </c>
      <c r="M661" t="inlineStr">
        <is>
          <t>1988</t>
        </is>
      </c>
      <c r="O661" t="inlineStr">
        <is>
          <t>eng</t>
        </is>
      </c>
      <c r="P661" t="inlineStr">
        <is>
          <t>dcu</t>
        </is>
      </c>
      <c r="R661" t="inlineStr">
        <is>
          <t xml:space="preserve">QV </t>
        </is>
      </c>
      <c r="S661" t="n">
        <v>1</v>
      </c>
      <c r="T661" t="n">
        <v>6</v>
      </c>
      <c r="U661" t="inlineStr">
        <is>
          <t>1993-11-22</t>
        </is>
      </c>
      <c r="V661" t="inlineStr">
        <is>
          <t>1993-11-22</t>
        </is>
      </c>
      <c r="W661" t="inlineStr">
        <is>
          <t>1993-11-22</t>
        </is>
      </c>
      <c r="X661" t="inlineStr">
        <is>
          <t>1994-06-16</t>
        </is>
      </c>
      <c r="Y661" t="n">
        <v>13</v>
      </c>
      <c r="Z661" t="n">
        <v>13</v>
      </c>
      <c r="AA661" t="n">
        <v>13</v>
      </c>
      <c r="AB661" t="n">
        <v>1</v>
      </c>
      <c r="AC661" t="n">
        <v>1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1">
        <f>HYPERLINK("http://www.worldcat.org/oclc/21793065","WorldCat Record")</f>
        <v/>
      </c>
    </row>
    <row r="662">
      <c r="A662" t="inlineStr">
        <is>
          <t>No</t>
        </is>
      </c>
      <c r="B662" t="inlineStr">
        <is>
          <t>QV 738 H754 1992</t>
        </is>
      </c>
      <c r="C662" t="inlineStr">
        <is>
          <t>0                      QV 0738000H  754         1992</t>
        </is>
      </c>
      <c r="D662" t="inlineStr">
        <is>
          <t>The Homoeopathic pharmacopoeia of the United States revision service.</t>
        </is>
      </c>
      <c r="E662" t="inlineStr">
        <is>
          <t>V. 2</t>
        </is>
      </c>
      <c r="F662" t="inlineStr">
        <is>
          <t>Yes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L662" t="inlineStr">
        <is>
          <t>[Washington, D.C.] : Homoeopathic Pharmacopoeia Convention of the United States, c1988-</t>
        </is>
      </c>
      <c r="M662" t="inlineStr">
        <is>
          <t>1988</t>
        </is>
      </c>
      <c r="O662" t="inlineStr">
        <is>
          <t>eng</t>
        </is>
      </c>
      <c r="P662" t="inlineStr">
        <is>
          <t>dcu</t>
        </is>
      </c>
      <c r="R662" t="inlineStr">
        <is>
          <t xml:space="preserve">QV </t>
        </is>
      </c>
      <c r="S662" t="n">
        <v>2</v>
      </c>
      <c r="T662" t="n">
        <v>6</v>
      </c>
      <c r="U662" t="inlineStr">
        <is>
          <t>1993-11-22</t>
        </is>
      </c>
      <c r="V662" t="inlineStr">
        <is>
          <t>1993-11-22</t>
        </is>
      </c>
      <c r="W662" t="inlineStr">
        <is>
          <t>1993-11-22</t>
        </is>
      </c>
      <c r="X662" t="inlineStr">
        <is>
          <t>1994-06-16</t>
        </is>
      </c>
      <c r="Y662" t="n">
        <v>13</v>
      </c>
      <c r="Z662" t="n">
        <v>13</v>
      </c>
      <c r="AA662" t="n">
        <v>13</v>
      </c>
      <c r="AB662" t="n">
        <v>1</v>
      </c>
      <c r="AC662" t="n">
        <v>1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2">
        <f>HYPERLINK("http://www.worldcat.org/oclc/21793065","WorldCat Record")</f>
        <v/>
      </c>
    </row>
    <row r="663">
      <c r="A663" t="inlineStr">
        <is>
          <t>No</t>
        </is>
      </c>
      <c r="B663" t="inlineStr">
        <is>
          <t>QV 738 H754 1992</t>
        </is>
      </c>
      <c r="C663" t="inlineStr">
        <is>
          <t>0                      QV 0738000H  754         1992</t>
        </is>
      </c>
      <c r="D663" t="inlineStr">
        <is>
          <t>The Homoeopathic pharmacopoeia of the United States revision service.</t>
        </is>
      </c>
      <c r="E663" t="inlineStr">
        <is>
          <t>V. 1</t>
        </is>
      </c>
      <c r="F663" t="inlineStr">
        <is>
          <t>Yes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L663" t="inlineStr">
        <is>
          <t>[Washington, D.C.] : Homoeopathic Pharmacopoeia Convention of the United States, c1988-</t>
        </is>
      </c>
      <c r="M663" t="inlineStr">
        <is>
          <t>1988</t>
        </is>
      </c>
      <c r="O663" t="inlineStr">
        <is>
          <t>eng</t>
        </is>
      </c>
      <c r="P663" t="inlineStr">
        <is>
          <t>dcu</t>
        </is>
      </c>
      <c r="R663" t="inlineStr">
        <is>
          <t xml:space="preserve">QV </t>
        </is>
      </c>
      <c r="S663" t="n">
        <v>2</v>
      </c>
      <c r="T663" t="n">
        <v>6</v>
      </c>
      <c r="U663" t="inlineStr">
        <is>
          <t>1993-11-22</t>
        </is>
      </c>
      <c r="V663" t="inlineStr">
        <is>
          <t>1993-11-22</t>
        </is>
      </c>
      <c r="W663" t="inlineStr">
        <is>
          <t>1993-10-11</t>
        </is>
      </c>
      <c r="X663" t="inlineStr">
        <is>
          <t>1994-06-16</t>
        </is>
      </c>
      <c r="Y663" t="n">
        <v>13</v>
      </c>
      <c r="Z663" t="n">
        <v>13</v>
      </c>
      <c r="AA663" t="n">
        <v>13</v>
      </c>
      <c r="AB663" t="n">
        <v>1</v>
      </c>
      <c r="AC663" t="n">
        <v>1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3">
        <f>HYPERLINK("http://www.worldcat.org/oclc/21793065","WorldCat Record")</f>
        <v/>
      </c>
    </row>
    <row r="664">
      <c r="A664" t="inlineStr">
        <is>
          <t>No</t>
        </is>
      </c>
      <c r="B664" t="inlineStr">
        <is>
          <t>QV 738 H754 1992</t>
        </is>
      </c>
      <c r="C664" t="inlineStr">
        <is>
          <t>0                      QV 0738000H  754         1992</t>
        </is>
      </c>
      <c r="D664" t="inlineStr">
        <is>
          <t>The Homoeopathic pharmacopoeia of the United States revision service.</t>
        </is>
      </c>
      <c r="E664" t="inlineStr">
        <is>
          <t>V. 4</t>
        </is>
      </c>
      <c r="F664" t="inlineStr">
        <is>
          <t>Yes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L664" t="inlineStr">
        <is>
          <t>[Washington, D.C.] : Homoeopathic Pharmacopoeia Convention of the United States, c1988-</t>
        </is>
      </c>
      <c r="M664" t="inlineStr">
        <is>
          <t>1988</t>
        </is>
      </c>
      <c r="O664" t="inlineStr">
        <is>
          <t>eng</t>
        </is>
      </c>
      <c r="P664" t="inlineStr">
        <is>
          <t>dcu</t>
        </is>
      </c>
      <c r="R664" t="inlineStr">
        <is>
          <t xml:space="preserve">QV </t>
        </is>
      </c>
      <c r="S664" t="n">
        <v>1</v>
      </c>
      <c r="T664" t="n">
        <v>6</v>
      </c>
      <c r="U664" t="inlineStr">
        <is>
          <t>1993-11-22</t>
        </is>
      </c>
      <c r="V664" t="inlineStr">
        <is>
          <t>1993-11-22</t>
        </is>
      </c>
      <c r="W664" t="inlineStr">
        <is>
          <t>1993-11-22</t>
        </is>
      </c>
      <c r="X664" t="inlineStr">
        <is>
          <t>1994-06-16</t>
        </is>
      </c>
      <c r="Y664" t="n">
        <v>13</v>
      </c>
      <c r="Z664" t="n">
        <v>13</v>
      </c>
      <c r="AA664" t="n">
        <v>13</v>
      </c>
      <c r="AB664" t="n">
        <v>1</v>
      </c>
      <c r="AC664" t="n">
        <v>1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4">
        <f>HYPERLINK("http://www.worldcat.org/oclc/21793065","WorldCat Record")</f>
        <v/>
      </c>
    </row>
    <row r="665">
      <c r="A665" t="inlineStr">
        <is>
          <t>No</t>
        </is>
      </c>
      <c r="B665" t="inlineStr">
        <is>
          <t>QV 738 O58 1991</t>
        </is>
      </c>
      <c r="C665" t="inlineStr">
        <is>
          <t>0                      QV 0738000O  58          1991</t>
        </is>
      </c>
      <c r="D665" t="inlineStr">
        <is>
          <t>170 years of USP : the end of the beginning : proceedings of the United States Pharmacopeial Convention, Inc.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L665" t="inlineStr">
        <is>
          <t>Rockville, MD : United States Pharmacopeial Convention, Inc., Board of Trustees, c1991.</t>
        </is>
      </c>
      <c r="M665" t="inlineStr">
        <is>
          <t>1991</t>
        </is>
      </c>
      <c r="O665" t="inlineStr">
        <is>
          <t>eng</t>
        </is>
      </c>
      <c r="P665" t="inlineStr">
        <is>
          <t>mdu</t>
        </is>
      </c>
      <c r="R665" t="inlineStr">
        <is>
          <t xml:space="preserve">QV </t>
        </is>
      </c>
      <c r="S665" t="n">
        <v>1</v>
      </c>
      <c r="T665" t="n">
        <v>1</v>
      </c>
      <c r="U665" t="inlineStr">
        <is>
          <t>1991-07-23</t>
        </is>
      </c>
      <c r="V665" t="inlineStr">
        <is>
          <t>1991-07-23</t>
        </is>
      </c>
      <c r="W665" t="inlineStr">
        <is>
          <t>1991-07-23</t>
        </is>
      </c>
      <c r="X665" t="inlineStr">
        <is>
          <t>1991-07-23</t>
        </is>
      </c>
      <c r="Y665" t="n">
        <v>71</v>
      </c>
      <c r="Z665" t="n">
        <v>69</v>
      </c>
      <c r="AA665" t="n">
        <v>73</v>
      </c>
      <c r="AB665" t="n">
        <v>1</v>
      </c>
      <c r="AC665" t="n">
        <v>1</v>
      </c>
      <c r="AD665" t="n">
        <v>4</v>
      </c>
      <c r="AE665" t="n">
        <v>4</v>
      </c>
      <c r="AF665" t="n">
        <v>2</v>
      </c>
      <c r="AG665" t="n">
        <v>2</v>
      </c>
      <c r="AH665" t="n">
        <v>2</v>
      </c>
      <c r="AI665" t="n">
        <v>2</v>
      </c>
      <c r="AJ665" t="n">
        <v>1</v>
      </c>
      <c r="AK665" t="n">
        <v>1</v>
      </c>
      <c r="AL665" t="n">
        <v>0</v>
      </c>
      <c r="AM665" t="n">
        <v>0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HYPERLINK("https://creighton-primo.hosted.exlibrisgroup.com/primo-explore/search?tab=default_tab&amp;search_scope=EVERYTHING&amp;vid=01CRU&amp;lang=en_US&amp;offset=0&amp;query=any,contains,991000943739702656","Catalog Record")</f>
        <v/>
      </c>
      <c r="AT665">
        <f>HYPERLINK("http://www.worldcat.org/oclc/23961660","WorldCat Record")</f>
        <v/>
      </c>
    </row>
    <row r="666">
      <c r="A666" t="inlineStr">
        <is>
          <t>No</t>
        </is>
      </c>
      <c r="B666" t="inlineStr">
        <is>
          <t>QV 740 AA1 A17</t>
        </is>
      </c>
      <c r="C666" t="inlineStr">
        <is>
          <t>0                      QV 0740000AA 1                  A  17</t>
        </is>
      </c>
      <c r="D666" t="inlineStr">
        <is>
          <t>AMA drug evaluations / evaluated by the AMA Council on Drugs.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L666" t="inlineStr">
        <is>
          <t>Chicago : Americal Medical Association, 1971.</t>
        </is>
      </c>
      <c r="M666" t="inlineStr">
        <is>
          <t>1971</t>
        </is>
      </c>
      <c r="N666" t="inlineStr">
        <is>
          <t>1st ed.</t>
        </is>
      </c>
      <c r="O666" t="inlineStr">
        <is>
          <t>eng</t>
        </is>
      </c>
      <c r="P666" t="inlineStr">
        <is>
          <t>ilu</t>
        </is>
      </c>
      <c r="R666" t="inlineStr">
        <is>
          <t xml:space="preserve">QV </t>
        </is>
      </c>
      <c r="S666" t="n">
        <v>0</v>
      </c>
      <c r="T666" t="n">
        <v>0</v>
      </c>
      <c r="U666" t="inlineStr">
        <is>
          <t>2002-04-25</t>
        </is>
      </c>
      <c r="V666" t="inlineStr">
        <is>
          <t>2002-04-25</t>
        </is>
      </c>
      <c r="W666" t="inlineStr">
        <is>
          <t>1988-03-27</t>
        </is>
      </c>
      <c r="X666" t="inlineStr">
        <is>
          <t>1988-03-27</t>
        </is>
      </c>
      <c r="Y666" t="n">
        <v>29</v>
      </c>
      <c r="Z666" t="n">
        <v>17</v>
      </c>
      <c r="AA666" t="n">
        <v>215</v>
      </c>
      <c r="AB666" t="n">
        <v>1</v>
      </c>
      <c r="AC666" t="n">
        <v>2</v>
      </c>
      <c r="AD666" t="n">
        <v>0</v>
      </c>
      <c r="AE666" t="n">
        <v>3</v>
      </c>
      <c r="AF666" t="n">
        <v>0</v>
      </c>
      <c r="AG666" t="n">
        <v>1</v>
      </c>
      <c r="AH666" t="n">
        <v>0</v>
      </c>
      <c r="AI666" t="n">
        <v>2</v>
      </c>
      <c r="AJ666" t="n">
        <v>0</v>
      </c>
      <c r="AK666" t="n">
        <v>1</v>
      </c>
      <c r="AL666" t="n">
        <v>0</v>
      </c>
      <c r="AM666" t="n">
        <v>0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HYPERLINK("http://catalog.hathitrust.org/Record/009863575","HathiTrust Record")</f>
        <v/>
      </c>
      <c r="AS666">
        <f>HYPERLINK("https://creighton-primo.hosted.exlibrisgroup.com/primo-explore/search?tab=default_tab&amp;search_scope=EVERYTHING&amp;vid=01CRU&amp;lang=en_US&amp;offset=0&amp;query=any,contains,991000990659702656","Catalog Record")</f>
        <v/>
      </c>
      <c r="AT666">
        <f>HYPERLINK("http://www.worldcat.org/oclc/17540175","WorldCat Record")</f>
        <v/>
      </c>
    </row>
    <row r="667">
      <c r="A667" t="inlineStr">
        <is>
          <t>No</t>
        </is>
      </c>
      <c r="B667" t="inlineStr">
        <is>
          <t>QV 740 AA1 A17</t>
        </is>
      </c>
      <c r="C667" t="inlineStr">
        <is>
          <t>0                      QV 0740000AA 1                  A  17</t>
        </is>
      </c>
      <c r="D667" t="inlineStr">
        <is>
          <t>AMA drug evaluations / prepared by the AMA Department of Drugs in cooperation with the American Society for Clinical Pharmacology and Therapeutics.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Yes</t>
        </is>
      </c>
      <c r="J667" t="inlineStr">
        <is>
          <t>0</t>
        </is>
      </c>
      <c r="K667" t="inlineStr">
        <is>
          <t>American Medical Association. Department of Drugs.</t>
        </is>
      </c>
      <c r="L667" t="inlineStr">
        <is>
          <t>Chicago : The Association, 1980.</t>
        </is>
      </c>
      <c r="M667" t="inlineStr">
        <is>
          <t>1980</t>
        </is>
      </c>
      <c r="N667" t="inlineStr">
        <is>
          <t>4th ed.</t>
        </is>
      </c>
      <c r="O667" t="inlineStr">
        <is>
          <t>eng</t>
        </is>
      </c>
      <c r="P667" t="inlineStr">
        <is>
          <t>ilu</t>
        </is>
      </c>
      <c r="R667" t="inlineStr">
        <is>
          <t xml:space="preserve">QV </t>
        </is>
      </c>
      <c r="S667" t="n">
        <v>1</v>
      </c>
      <c r="T667" t="n">
        <v>1</v>
      </c>
      <c r="U667" t="inlineStr">
        <is>
          <t>2002-04-25</t>
        </is>
      </c>
      <c r="V667" t="inlineStr">
        <is>
          <t>2002-04-25</t>
        </is>
      </c>
      <c r="W667" t="inlineStr">
        <is>
          <t>1988-03-23</t>
        </is>
      </c>
      <c r="X667" t="inlineStr">
        <is>
          <t>1988-03-23</t>
        </is>
      </c>
      <c r="Y667" t="n">
        <v>128</v>
      </c>
      <c r="Z667" t="n">
        <v>96</v>
      </c>
      <c r="AA667" t="n">
        <v>185</v>
      </c>
      <c r="AB667" t="n">
        <v>1</v>
      </c>
      <c r="AC667" t="n">
        <v>1</v>
      </c>
      <c r="AD667" t="n">
        <v>1</v>
      </c>
      <c r="AE667" t="n">
        <v>3</v>
      </c>
      <c r="AF667" t="n">
        <v>1</v>
      </c>
      <c r="AG667" t="n">
        <v>1</v>
      </c>
      <c r="AH667" t="n">
        <v>0</v>
      </c>
      <c r="AI667" t="n">
        <v>1</v>
      </c>
      <c r="AJ667" t="n">
        <v>0</v>
      </c>
      <c r="AK667" t="n">
        <v>0</v>
      </c>
      <c r="AL667" t="n">
        <v>0</v>
      </c>
      <c r="AM667" t="n">
        <v>0</v>
      </c>
      <c r="AN667" t="n">
        <v>0</v>
      </c>
      <c r="AO667" t="n">
        <v>1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HYPERLINK("https://creighton-primo.hosted.exlibrisgroup.com/primo-explore/search?tab=default_tab&amp;search_scope=EVERYTHING&amp;vid=01CRU&amp;lang=en_US&amp;offset=0&amp;query=any,contains,991001432409702656","Catalog Record")</f>
        <v/>
      </c>
      <c r="AT667">
        <f>HYPERLINK("http://www.worldcat.org/oclc/16481943","WorldCat Record")</f>
        <v/>
      </c>
    </row>
    <row r="668">
      <c r="A668" t="inlineStr">
        <is>
          <t>No</t>
        </is>
      </c>
      <c r="B668" t="inlineStr">
        <is>
          <t>QV 740 AA1 A17</t>
        </is>
      </c>
      <c r="C668" t="inlineStr">
        <is>
          <t>0                      QV 0740000AA 1                  A  17</t>
        </is>
      </c>
      <c r="D668" t="inlineStr">
        <is>
          <t>AMA drug evaluations / prepared by the AMA Department of Drugs in cooperation with the American Society for Clinical Pharmacology and Therapeutics.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Yes</t>
        </is>
      </c>
      <c r="J668" t="inlineStr">
        <is>
          <t>0</t>
        </is>
      </c>
      <c r="K668" t="inlineStr">
        <is>
          <t>American Medical Association. Department of Drugs.</t>
        </is>
      </c>
      <c r="L668" t="inlineStr">
        <is>
          <t>Littleton, Mass. : Publishing Sciences Group, 1977.</t>
        </is>
      </c>
      <c r="M668" t="inlineStr">
        <is>
          <t>1977</t>
        </is>
      </c>
      <c r="N668" t="inlineStr">
        <is>
          <t>3rd ed.</t>
        </is>
      </c>
      <c r="O668" t="inlineStr">
        <is>
          <t>eng</t>
        </is>
      </c>
      <c r="P668" t="inlineStr">
        <is>
          <t>mau</t>
        </is>
      </c>
      <c r="R668" t="inlineStr">
        <is>
          <t xml:space="preserve">QV </t>
        </is>
      </c>
      <c r="S668" t="n">
        <v>1</v>
      </c>
      <c r="T668" t="n">
        <v>1</v>
      </c>
      <c r="U668" t="inlineStr">
        <is>
          <t>2002-04-25</t>
        </is>
      </c>
      <c r="V668" t="inlineStr">
        <is>
          <t>2002-04-25</t>
        </is>
      </c>
      <c r="W668" t="inlineStr">
        <is>
          <t>1988-03-26</t>
        </is>
      </c>
      <c r="X668" t="inlineStr">
        <is>
          <t>1988-03-26</t>
        </is>
      </c>
      <c r="Y668" t="n">
        <v>140</v>
      </c>
      <c r="Z668" t="n">
        <v>111</v>
      </c>
      <c r="AA668" t="n">
        <v>185</v>
      </c>
      <c r="AB668" t="n">
        <v>1</v>
      </c>
      <c r="AC668" t="n">
        <v>1</v>
      </c>
      <c r="AD668" t="n">
        <v>2</v>
      </c>
      <c r="AE668" t="n">
        <v>3</v>
      </c>
      <c r="AF668" t="n">
        <v>0</v>
      </c>
      <c r="AG668" t="n">
        <v>1</v>
      </c>
      <c r="AH668" t="n">
        <v>1</v>
      </c>
      <c r="AI668" t="n">
        <v>1</v>
      </c>
      <c r="AJ668" t="n">
        <v>0</v>
      </c>
      <c r="AK668" t="n">
        <v>0</v>
      </c>
      <c r="AL668" t="n">
        <v>0</v>
      </c>
      <c r="AM668" t="n">
        <v>0</v>
      </c>
      <c r="AN668" t="n">
        <v>1</v>
      </c>
      <c r="AO668" t="n">
        <v>1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HYPERLINK("https://creighton-primo.hosted.exlibrisgroup.com/primo-explore/search?tab=default_tab&amp;search_scope=EVERYTHING&amp;vid=01CRU&amp;lang=en_US&amp;offset=0&amp;query=any,contains,991000990859702656","Catalog Record")</f>
        <v/>
      </c>
      <c r="AT668">
        <f>HYPERLINK("http://www.worldcat.org/oclc/2926123","WorldCat Record")</f>
        <v/>
      </c>
    </row>
    <row r="669">
      <c r="A669" t="inlineStr">
        <is>
          <t>No</t>
        </is>
      </c>
      <c r="B669" t="inlineStr">
        <is>
          <t>QV 740 AA1 A17 1986</t>
        </is>
      </c>
      <c r="C669" t="inlineStr">
        <is>
          <t>0                      QV 0740000AA 1                  A  17          1986</t>
        </is>
      </c>
      <c r="D669" t="inlineStr">
        <is>
          <t>AMA drug evaluations.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American Medical Association. Division of Drugs and Technology.</t>
        </is>
      </c>
      <c r="L669" t="inlineStr">
        <is>
          <t>Chicago, Ill. : American Medical Association, c1986.</t>
        </is>
      </c>
      <c r="M669" t="inlineStr">
        <is>
          <t>1986</t>
        </is>
      </c>
      <c r="N669" t="inlineStr">
        <is>
          <t>6th ed. / prepared by the American Medical Association, Department of Drugs, Division of Drugs and Technology in cooperation with the American Society for Clinical Pharmacology and Therapeutics.</t>
        </is>
      </c>
      <c r="O669" t="inlineStr">
        <is>
          <t>eng</t>
        </is>
      </c>
      <c r="P669" t="inlineStr">
        <is>
          <t>ilu</t>
        </is>
      </c>
      <c r="R669" t="inlineStr">
        <is>
          <t xml:space="preserve">QV </t>
        </is>
      </c>
      <c r="S669" t="n">
        <v>14</v>
      </c>
      <c r="T669" t="n">
        <v>14</v>
      </c>
      <c r="U669" t="inlineStr">
        <is>
          <t>2002-04-25</t>
        </is>
      </c>
      <c r="V669" t="inlineStr">
        <is>
          <t>2002-04-25</t>
        </is>
      </c>
      <c r="W669" t="inlineStr">
        <is>
          <t>1987-12-04</t>
        </is>
      </c>
      <c r="X669" t="inlineStr">
        <is>
          <t>1987-12-04</t>
        </is>
      </c>
      <c r="Y669" t="n">
        <v>148</v>
      </c>
      <c r="Z669" t="n">
        <v>121</v>
      </c>
      <c r="AA669" t="n">
        <v>153</v>
      </c>
      <c r="AB669" t="n">
        <v>1</v>
      </c>
      <c r="AC669" t="n">
        <v>1</v>
      </c>
      <c r="AD669" t="n">
        <v>2</v>
      </c>
      <c r="AE669" t="n">
        <v>2</v>
      </c>
      <c r="AF669" t="n">
        <v>0</v>
      </c>
      <c r="AG669" t="n">
        <v>0</v>
      </c>
      <c r="AH669" t="n">
        <v>1</v>
      </c>
      <c r="AI669" t="n">
        <v>1</v>
      </c>
      <c r="AJ669" t="n">
        <v>0</v>
      </c>
      <c r="AK669" t="n">
        <v>0</v>
      </c>
      <c r="AL669" t="n">
        <v>0</v>
      </c>
      <c r="AM669" t="n">
        <v>0</v>
      </c>
      <c r="AN669" t="n">
        <v>1</v>
      </c>
      <c r="AO669" t="n">
        <v>1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HYPERLINK("https://creighton-primo.hosted.exlibrisgroup.com/primo-explore/search?tab=default_tab&amp;search_scope=EVERYTHING&amp;vid=01CRU&amp;lang=en_US&amp;offset=0&amp;query=any,contains,991001282119702656","Catalog Record")</f>
        <v/>
      </c>
      <c r="AT669">
        <f>HYPERLINK("http://www.worldcat.org/oclc/14280121","WorldCat Record")</f>
        <v/>
      </c>
    </row>
    <row r="670">
      <c r="A670" t="inlineStr">
        <is>
          <t>No</t>
        </is>
      </c>
      <c r="B670" t="inlineStr">
        <is>
          <t>QV 740 AA1 A53a 1987</t>
        </is>
      </c>
      <c r="C670" t="inlineStr">
        <is>
          <t>0                      QV 0740000AA 1                  A  53a         1987</t>
        </is>
      </c>
      <c r="D670" t="inlineStr">
        <is>
          <t>American Hospital Formulary Service drug information 87.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L670" t="inlineStr">
        <is>
          <t>Bethesda : American Society of Hospital Pharmacists, c1987.</t>
        </is>
      </c>
      <c r="M670" t="inlineStr">
        <is>
          <t>1987</t>
        </is>
      </c>
      <c r="O670" t="inlineStr">
        <is>
          <t>eng</t>
        </is>
      </c>
      <c r="P670" t="inlineStr">
        <is>
          <t>mdu</t>
        </is>
      </c>
      <c r="R670" t="inlineStr">
        <is>
          <t xml:space="preserve">QV </t>
        </is>
      </c>
      <c r="S670" t="n">
        <v>19</v>
      </c>
      <c r="T670" t="n">
        <v>19</v>
      </c>
      <c r="U670" t="inlineStr">
        <is>
          <t>1989-12-04</t>
        </is>
      </c>
      <c r="V670" t="inlineStr">
        <is>
          <t>1989-12-04</t>
        </is>
      </c>
      <c r="W670" t="inlineStr">
        <is>
          <t>1987-09-29</t>
        </is>
      </c>
      <c r="X670" t="inlineStr">
        <is>
          <t>1987-09-29</t>
        </is>
      </c>
      <c r="Y670" t="n">
        <v>42</v>
      </c>
      <c r="Z670" t="n">
        <v>40</v>
      </c>
      <c r="AA670" t="n">
        <v>40</v>
      </c>
      <c r="AB670" t="n">
        <v>1</v>
      </c>
      <c r="AC670" t="n">
        <v>1</v>
      </c>
      <c r="AD670" t="n">
        <v>1</v>
      </c>
      <c r="AE670" t="n">
        <v>1</v>
      </c>
      <c r="AF670" t="n">
        <v>0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0</v>
      </c>
      <c r="AM670" t="n">
        <v>0</v>
      </c>
      <c r="AN670" t="n">
        <v>1</v>
      </c>
      <c r="AO670" t="n">
        <v>1</v>
      </c>
      <c r="AP670" t="inlineStr">
        <is>
          <t>No</t>
        </is>
      </c>
      <c r="AQ670" t="inlineStr">
        <is>
          <t>No</t>
        </is>
      </c>
      <c r="AS670">
        <f>HYPERLINK("https://creighton-primo.hosted.exlibrisgroup.com/primo-explore/search?tab=default_tab&amp;search_scope=EVERYTHING&amp;vid=01CRU&amp;lang=en_US&amp;offset=0&amp;query=any,contains,991000748309702656","Catalog Record")</f>
        <v/>
      </c>
      <c r="AT670">
        <f>HYPERLINK("http://www.worldcat.org/oclc/15341455","WorldCat Record")</f>
        <v/>
      </c>
    </row>
    <row r="671">
      <c r="A671" t="inlineStr">
        <is>
          <t>No</t>
        </is>
      </c>
      <c r="B671" t="inlineStr">
        <is>
          <t>QV 740 AA1 A5n 1957</t>
        </is>
      </c>
      <c r="C671" t="inlineStr">
        <is>
          <t>0                      QV 0740000AA 1                  A  5n          1957</t>
        </is>
      </c>
      <c r="D671" t="inlineStr">
        <is>
          <t>New and nonofficial remedies, 1957.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American Medical Association.</t>
        </is>
      </c>
      <c r="L671" t="inlineStr">
        <is>
          <t>Philadelphia : Lippincott, c1957.</t>
        </is>
      </c>
      <c r="M671" t="inlineStr">
        <is>
          <t>1957</t>
        </is>
      </c>
      <c r="O671" t="inlineStr">
        <is>
          <t>eng</t>
        </is>
      </c>
      <c r="P671" t="inlineStr">
        <is>
          <t xml:space="preserve">xx </t>
        </is>
      </c>
      <c r="R671" t="inlineStr">
        <is>
          <t xml:space="preserve">QV </t>
        </is>
      </c>
      <c r="S671" t="n">
        <v>2</v>
      </c>
      <c r="T671" t="n">
        <v>2</v>
      </c>
      <c r="U671" t="inlineStr">
        <is>
          <t>1992-11-06</t>
        </is>
      </c>
      <c r="V671" t="inlineStr">
        <is>
          <t>1992-11-06</t>
        </is>
      </c>
      <c r="W671" t="inlineStr">
        <is>
          <t>1992-11-04</t>
        </is>
      </c>
      <c r="X671" t="inlineStr">
        <is>
          <t>1992-11-04</t>
        </is>
      </c>
      <c r="Y671" t="n">
        <v>7</v>
      </c>
      <c r="Z671" t="n">
        <v>3</v>
      </c>
      <c r="AA671" t="n">
        <v>18</v>
      </c>
      <c r="AB671" t="n">
        <v>1</v>
      </c>
      <c r="AC671" t="n">
        <v>1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HYPERLINK("https://creighton-primo.hosted.exlibrisgroup.com/primo-explore/search?tab=default_tab&amp;search_scope=EVERYTHING&amp;vid=01CRU&amp;lang=en_US&amp;offset=0&amp;query=any,contains,991001011139702656","Catalog Record")</f>
        <v/>
      </c>
      <c r="AT671">
        <f>HYPERLINK("http://www.worldcat.org/oclc/20699646","WorldCat Record")</f>
        <v/>
      </c>
    </row>
    <row r="672">
      <c r="A672" t="inlineStr">
        <is>
          <t>No</t>
        </is>
      </c>
      <c r="B672" t="inlineStr">
        <is>
          <t>QV 740 AA1 B4d 1941</t>
        </is>
      </c>
      <c r="C672" t="inlineStr">
        <is>
          <t>0                      QV 0740000AA 1                  B  4d          1941</t>
        </is>
      </c>
      <c r="D672" t="inlineStr">
        <is>
          <t>Drug and specialty formulas : a selected collection of tested, modern and practical formulas for medicinal, household, industrial, commercial, veterinary, cosmetic and food specialties / by Emil J. Belanger.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Belanger, Emil J.</t>
        </is>
      </c>
      <c r="L672" t="inlineStr">
        <is>
          <t>Brooklyn : Chemical Publ., c1941.</t>
        </is>
      </c>
      <c r="M672" t="inlineStr">
        <is>
          <t>1941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QV </t>
        </is>
      </c>
      <c r="S672" t="n">
        <v>1</v>
      </c>
      <c r="T672" t="n">
        <v>1</v>
      </c>
      <c r="U672" t="inlineStr">
        <is>
          <t>1992-03-27</t>
        </is>
      </c>
      <c r="V672" t="inlineStr">
        <is>
          <t>1992-03-27</t>
        </is>
      </c>
      <c r="W672" t="inlineStr">
        <is>
          <t>1988-02-04</t>
        </is>
      </c>
      <c r="X672" t="inlineStr">
        <is>
          <t>1988-02-04</t>
        </is>
      </c>
      <c r="Y672" t="n">
        <v>95</v>
      </c>
      <c r="Z672" t="n">
        <v>79</v>
      </c>
      <c r="AA672" t="n">
        <v>86</v>
      </c>
      <c r="AB672" t="n">
        <v>1</v>
      </c>
      <c r="AC672" t="n">
        <v>1</v>
      </c>
      <c r="AD672" t="n">
        <v>1</v>
      </c>
      <c r="AE672" t="n">
        <v>1</v>
      </c>
      <c r="AF672" t="n">
        <v>1</v>
      </c>
      <c r="AG672" t="n">
        <v>1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inlineStr">
        <is>
          <t>Yes</t>
        </is>
      </c>
      <c r="AQ672" t="inlineStr">
        <is>
          <t>No</t>
        </is>
      </c>
      <c r="AR672">
        <f>HYPERLINK("http://catalog.hathitrust.org/Record/001573730","HathiTrust Record")</f>
        <v/>
      </c>
      <c r="AS672">
        <f>HYPERLINK("https://creighton-primo.hosted.exlibrisgroup.com/primo-explore/search?tab=default_tab&amp;search_scope=EVERYTHING&amp;vid=01CRU&amp;lang=en_US&amp;offset=0&amp;query=any,contains,991000991299702656","Catalog Record")</f>
        <v/>
      </c>
      <c r="AT672">
        <f>HYPERLINK("http://www.worldcat.org/oclc/829570","WorldCat Record")</f>
        <v/>
      </c>
    </row>
    <row r="673">
      <c r="A673" t="inlineStr">
        <is>
          <t>No</t>
        </is>
      </c>
      <c r="B673" t="inlineStr">
        <is>
          <t>QV 740 AN1 W637a 1990-91</t>
        </is>
      </c>
      <c r="C673" t="inlineStr">
        <is>
          <t>0                      QV 0740000AN 1                  W  637a        1990                  -91</t>
        </is>
      </c>
      <c r="D673" t="inlineStr">
        <is>
          <t>AMI Saint Joseph Hospital formulary, 1990-1991 / William D. Wickman.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Wickman, William D.</t>
        </is>
      </c>
      <c r="L673" t="inlineStr">
        <is>
          <t>Omaha : Dept. of Pharmaceutical Services, Saint Joseph Hospital, 1990.</t>
        </is>
      </c>
      <c r="M673" t="inlineStr">
        <is>
          <t>1990</t>
        </is>
      </c>
      <c r="N673" t="inlineStr">
        <is>
          <t>10th ed. / Donald R. Fagan.</t>
        </is>
      </c>
      <c r="O673" t="inlineStr">
        <is>
          <t>eng</t>
        </is>
      </c>
      <c r="P673" t="inlineStr">
        <is>
          <t>nbu</t>
        </is>
      </c>
      <c r="R673" t="inlineStr">
        <is>
          <t xml:space="preserve">QV </t>
        </is>
      </c>
      <c r="S673" t="n">
        <v>3</v>
      </c>
      <c r="T673" t="n">
        <v>3</v>
      </c>
      <c r="U673" t="inlineStr">
        <is>
          <t>1994-09-13</t>
        </is>
      </c>
      <c r="V673" t="inlineStr">
        <is>
          <t>1994-09-13</t>
        </is>
      </c>
      <c r="W673" t="inlineStr">
        <is>
          <t>1990-10-18</t>
        </is>
      </c>
      <c r="X673" t="inlineStr">
        <is>
          <t>1990-10-18</t>
        </is>
      </c>
      <c r="Y673" t="n">
        <v>1</v>
      </c>
      <c r="Z673" t="n">
        <v>1</v>
      </c>
      <c r="AA673" t="n">
        <v>1</v>
      </c>
      <c r="AB673" t="n">
        <v>1</v>
      </c>
      <c r="AC673" t="n">
        <v>1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0</v>
      </c>
      <c r="AM673" t="n">
        <v>0</v>
      </c>
      <c r="AN673" t="n">
        <v>0</v>
      </c>
      <c r="AO673" t="n">
        <v>0</v>
      </c>
      <c r="AP673" t="inlineStr">
        <is>
          <t>No</t>
        </is>
      </c>
      <c r="AQ673" t="inlineStr">
        <is>
          <t>No</t>
        </is>
      </c>
      <c r="AS673">
        <f>HYPERLINK("https://creighton-primo.hosted.exlibrisgroup.com/primo-explore/search?tab=default_tab&amp;search_scope=EVERYTHING&amp;vid=01CRU&amp;lang=en_US&amp;offset=0&amp;query=any,contains,991000769819702656","Catalog Record")</f>
        <v/>
      </c>
      <c r="AT673">
        <f>HYPERLINK("http://www.worldcat.org/oclc/23753338","WorldCat Record")</f>
        <v/>
      </c>
    </row>
    <row r="674">
      <c r="A674" t="inlineStr">
        <is>
          <t>No</t>
        </is>
      </c>
      <c r="B674" t="inlineStr">
        <is>
          <t>QV 740 AN1 W637s 1991-92</t>
        </is>
      </c>
      <c r="C674" t="inlineStr">
        <is>
          <t>0                      QV 0740000AN 1                  W  637s        1991                  -92</t>
        </is>
      </c>
      <c r="D674" t="inlineStr">
        <is>
          <t>Saint Joseph Hospital formulary, 1991-1992 / William D. Wickman.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Wickman, William D.</t>
        </is>
      </c>
      <c r="L674" t="inlineStr">
        <is>
          <t>Omaha : Dept. of Pharmaceutical Services, Saint Joseph Hospital, 1991.</t>
        </is>
      </c>
      <c r="M674" t="inlineStr">
        <is>
          <t>1991</t>
        </is>
      </c>
      <c r="N674" t="inlineStr">
        <is>
          <t>11th ed. / Colleen M. Currie.</t>
        </is>
      </c>
      <c r="O674" t="inlineStr">
        <is>
          <t>eng</t>
        </is>
      </c>
      <c r="P674" t="inlineStr">
        <is>
          <t>nbu</t>
        </is>
      </c>
      <c r="R674" t="inlineStr">
        <is>
          <t xml:space="preserve">QV </t>
        </is>
      </c>
      <c r="S674" t="n">
        <v>4</v>
      </c>
      <c r="T674" t="n">
        <v>4</v>
      </c>
      <c r="U674" t="inlineStr">
        <is>
          <t>1991-08-23</t>
        </is>
      </c>
      <c r="V674" t="inlineStr">
        <is>
          <t>1991-08-23</t>
        </is>
      </c>
      <c r="W674" t="inlineStr">
        <is>
          <t>1991-08-23</t>
        </is>
      </c>
      <c r="X674" t="inlineStr">
        <is>
          <t>1991-08-23</t>
        </is>
      </c>
      <c r="Y674" t="n">
        <v>1</v>
      </c>
      <c r="Z674" t="n">
        <v>1</v>
      </c>
      <c r="AA674" t="n">
        <v>1</v>
      </c>
      <c r="AB674" t="n">
        <v>1</v>
      </c>
      <c r="AC674" t="n">
        <v>1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0</v>
      </c>
      <c r="AM674" t="n">
        <v>0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HYPERLINK("https://creighton-primo.hosted.exlibrisgroup.com/primo-explore/search?tab=default_tab&amp;search_scope=EVERYTHING&amp;vid=01CRU&amp;lang=en_US&amp;offset=0&amp;query=any,contains,991000945619702656","Catalog Record")</f>
        <v/>
      </c>
      <c r="AT674">
        <f>HYPERLINK("http://www.worldcat.org/oclc/24944417","WorldCat Record")</f>
        <v/>
      </c>
    </row>
    <row r="675">
      <c r="A675" t="inlineStr">
        <is>
          <t>No</t>
        </is>
      </c>
      <c r="B675" t="inlineStr">
        <is>
          <t>QV 740 FA1 P536 1994</t>
        </is>
      </c>
      <c r="C675" t="inlineStr">
        <is>
          <t>0                      QV 0740000FA 1                  P  536         1994</t>
        </is>
      </c>
      <c r="D675" t="inlineStr">
        <is>
          <t>The pharmaceutical codex : principles and practice of pharmaceutics / editor Walter Lund.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L675" t="inlineStr">
        <is>
          <t>London : Pharmaceutical Press, c1994.</t>
        </is>
      </c>
      <c r="M675" t="inlineStr">
        <is>
          <t>1994</t>
        </is>
      </c>
      <c r="N675" t="inlineStr">
        <is>
          <t>12th ed.</t>
        </is>
      </c>
      <c r="O675" t="inlineStr">
        <is>
          <t>eng</t>
        </is>
      </c>
      <c r="P675" t="inlineStr">
        <is>
          <t>enk</t>
        </is>
      </c>
      <c r="R675" t="inlineStr">
        <is>
          <t xml:space="preserve">QV </t>
        </is>
      </c>
      <c r="S675" t="n">
        <v>6</v>
      </c>
      <c r="T675" t="n">
        <v>6</v>
      </c>
      <c r="U675" t="inlineStr">
        <is>
          <t>1994-06-22</t>
        </is>
      </c>
      <c r="V675" t="inlineStr">
        <is>
          <t>1994-06-22</t>
        </is>
      </c>
      <c r="W675" t="inlineStr">
        <is>
          <t>1994-06-22</t>
        </is>
      </c>
      <c r="X675" t="inlineStr">
        <is>
          <t>1994-06-22</t>
        </is>
      </c>
      <c r="Y675" t="n">
        <v>34</v>
      </c>
      <c r="Z675" t="n">
        <v>12</v>
      </c>
      <c r="AA675" t="n">
        <v>40</v>
      </c>
      <c r="AB675" t="n">
        <v>1</v>
      </c>
      <c r="AC675" t="n">
        <v>1</v>
      </c>
      <c r="AD675" t="n">
        <v>0</v>
      </c>
      <c r="AE675" t="n">
        <v>1</v>
      </c>
      <c r="AF675" t="n">
        <v>0</v>
      </c>
      <c r="AG675" t="n">
        <v>1</v>
      </c>
      <c r="AH675" t="n">
        <v>0</v>
      </c>
      <c r="AI675" t="n">
        <v>1</v>
      </c>
      <c r="AJ675" t="n">
        <v>0</v>
      </c>
      <c r="AK675" t="n">
        <v>0</v>
      </c>
      <c r="AL675" t="n">
        <v>0</v>
      </c>
      <c r="AM675" t="n">
        <v>0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HYPERLINK("https://creighton-primo.hosted.exlibrisgroup.com/primo-explore/search?tab=default_tab&amp;search_scope=EVERYTHING&amp;vid=01CRU&amp;lang=en_US&amp;offset=0&amp;query=any,contains,991000671089702656","Catalog Record")</f>
        <v/>
      </c>
      <c r="AT675">
        <f>HYPERLINK("http://www.worldcat.org/oclc/30547377","WorldCat Record")</f>
        <v/>
      </c>
    </row>
    <row r="676">
      <c r="A676" t="inlineStr">
        <is>
          <t>No</t>
        </is>
      </c>
      <c r="B676" t="inlineStr">
        <is>
          <t>QV740 P964 2003</t>
        </is>
      </c>
      <c r="C676" t="inlineStr">
        <is>
          <t>0                      QV 0740000P  964         2003</t>
        </is>
      </c>
      <c r="D676" t="inlineStr">
        <is>
          <t>Profiles of drug substances, excipients and related methodology / edited by Harry G. Brittain.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L676" t="inlineStr">
        <is>
          <t>Amsterdam : Boston : Elsevier Science, c2003.</t>
        </is>
      </c>
      <c r="M676" t="inlineStr">
        <is>
          <t>2003</t>
        </is>
      </c>
      <c r="O676" t="inlineStr">
        <is>
          <t>eng</t>
        </is>
      </c>
      <c r="P676" t="inlineStr">
        <is>
          <t>mau</t>
        </is>
      </c>
      <c r="R676" t="inlineStr">
        <is>
          <t xml:space="preserve">QV </t>
        </is>
      </c>
      <c r="S676" t="n">
        <v>1</v>
      </c>
      <c r="T676" t="n">
        <v>1</v>
      </c>
      <c r="U676" t="inlineStr">
        <is>
          <t>2004-03-10</t>
        </is>
      </c>
      <c r="V676" t="inlineStr">
        <is>
          <t>2004-03-10</t>
        </is>
      </c>
      <c r="W676" t="inlineStr">
        <is>
          <t>2004-03-02</t>
        </is>
      </c>
      <c r="X676" t="inlineStr">
        <is>
          <t>2004-03-02</t>
        </is>
      </c>
      <c r="Y676" t="n">
        <v>24</v>
      </c>
      <c r="Z676" t="n">
        <v>16</v>
      </c>
      <c r="AA676" t="n">
        <v>22</v>
      </c>
      <c r="AB676" t="n">
        <v>1</v>
      </c>
      <c r="AC676" t="n">
        <v>1</v>
      </c>
      <c r="AD676" t="n">
        <v>1</v>
      </c>
      <c r="AE676" t="n">
        <v>1</v>
      </c>
      <c r="AF676" t="n">
        <v>1</v>
      </c>
      <c r="AG676" t="n">
        <v>1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inlineStr">
        <is>
          <t>No</t>
        </is>
      </c>
      <c r="AQ676" t="inlineStr">
        <is>
          <t>No</t>
        </is>
      </c>
      <c r="AS676">
        <f>HYPERLINK("https://creighton-primo.hosted.exlibrisgroup.com/primo-explore/search?tab=default_tab&amp;search_scope=EVERYTHING&amp;vid=01CRU&amp;lang=en_US&amp;offset=0&amp;query=any,contains,991000367429702656","Catalog Record")</f>
        <v/>
      </c>
      <c r="AT676">
        <f>HYPERLINK("http://www.worldcat.org/oclc/53982835","WorldCat Record")</f>
        <v/>
      </c>
    </row>
    <row r="677">
      <c r="A677" t="inlineStr">
        <is>
          <t>No</t>
        </is>
      </c>
      <c r="B677" t="inlineStr">
        <is>
          <t>QV 744 C737 1990</t>
        </is>
      </c>
      <c r="C677" t="inlineStr">
        <is>
          <t>0                      QV 0744000C  737         1990</t>
        </is>
      </c>
      <c r="D677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7" t="inlineStr">
        <is>
          <t>V. 4</t>
        </is>
      </c>
      <c r="F677" t="inlineStr">
        <is>
          <t>Yes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L677" t="inlineStr">
        <is>
          <t>Oxford ; New York : Pergamon Press, c1990.</t>
        </is>
      </c>
      <c r="M677" t="inlineStr">
        <is>
          <t>1990</t>
        </is>
      </c>
      <c r="N677" t="inlineStr">
        <is>
          <t>1st ed.</t>
        </is>
      </c>
      <c r="O677" t="inlineStr">
        <is>
          <t>eng</t>
        </is>
      </c>
      <c r="P677" t="inlineStr">
        <is>
          <t>enk</t>
        </is>
      </c>
      <c r="R677" t="inlineStr">
        <is>
          <t xml:space="preserve">QV </t>
        </is>
      </c>
      <c r="S677" t="n">
        <v>11</v>
      </c>
      <c r="T677" t="n">
        <v>94</v>
      </c>
      <c r="U677" t="inlineStr">
        <is>
          <t>1995-11-20</t>
        </is>
      </c>
      <c r="V677" t="inlineStr">
        <is>
          <t>2005-11-18</t>
        </is>
      </c>
      <c r="W677" t="inlineStr">
        <is>
          <t>1990-06-21</t>
        </is>
      </c>
      <c r="X677" t="inlineStr">
        <is>
          <t>1990-06-21</t>
        </is>
      </c>
      <c r="Y677" t="n">
        <v>257</v>
      </c>
      <c r="Z677" t="n">
        <v>193</v>
      </c>
      <c r="AA677" t="n">
        <v>197</v>
      </c>
      <c r="AB677" t="n">
        <v>3</v>
      </c>
      <c r="AC677" t="n">
        <v>3</v>
      </c>
      <c r="AD677" t="n">
        <v>5</v>
      </c>
      <c r="AE677" t="n">
        <v>5</v>
      </c>
      <c r="AF677" t="n">
        <v>1</v>
      </c>
      <c r="AG677" t="n">
        <v>1</v>
      </c>
      <c r="AH677" t="n">
        <v>2</v>
      </c>
      <c r="AI677" t="n">
        <v>2</v>
      </c>
      <c r="AJ677" t="n">
        <v>3</v>
      </c>
      <c r="AK677" t="n">
        <v>3</v>
      </c>
      <c r="AL677" t="n">
        <v>1</v>
      </c>
      <c r="AM677" t="n">
        <v>1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HYPERLINK("http://catalog.hathitrust.org/Record/001946683","HathiTrust Record")</f>
        <v/>
      </c>
      <c r="AS677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7">
        <f>HYPERLINK("http://www.worldcat.org/oclc/20168118","WorldCat Record")</f>
        <v/>
      </c>
    </row>
    <row r="678">
      <c r="A678" t="inlineStr">
        <is>
          <t>No</t>
        </is>
      </c>
      <c r="B678" t="inlineStr">
        <is>
          <t>QV 744 C737 1990</t>
        </is>
      </c>
      <c r="C678" t="inlineStr">
        <is>
          <t>0                      QV 0744000C  737         1990</t>
        </is>
      </c>
      <c r="D678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8" t="inlineStr">
        <is>
          <t>V. 3</t>
        </is>
      </c>
      <c r="F678" t="inlineStr">
        <is>
          <t>Yes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Oxford ; New York : Pergamon Press, c1990.</t>
        </is>
      </c>
      <c r="M678" t="inlineStr">
        <is>
          <t>1990</t>
        </is>
      </c>
      <c r="N678" t="inlineStr">
        <is>
          <t>1st ed.</t>
        </is>
      </c>
      <c r="O678" t="inlineStr">
        <is>
          <t>eng</t>
        </is>
      </c>
      <c r="P678" t="inlineStr">
        <is>
          <t>enk</t>
        </is>
      </c>
      <c r="R678" t="inlineStr">
        <is>
          <t xml:space="preserve">QV </t>
        </is>
      </c>
      <c r="S678" t="n">
        <v>26</v>
      </c>
      <c r="T678" t="n">
        <v>94</v>
      </c>
      <c r="U678" t="inlineStr">
        <is>
          <t>2000-01-20</t>
        </is>
      </c>
      <c r="V678" t="inlineStr">
        <is>
          <t>2005-11-18</t>
        </is>
      </c>
      <c r="W678" t="inlineStr">
        <is>
          <t>1990-06-21</t>
        </is>
      </c>
      <c r="X678" t="inlineStr">
        <is>
          <t>1990-06-21</t>
        </is>
      </c>
      <c r="Y678" t="n">
        <v>257</v>
      </c>
      <c r="Z678" t="n">
        <v>193</v>
      </c>
      <c r="AA678" t="n">
        <v>197</v>
      </c>
      <c r="AB678" t="n">
        <v>3</v>
      </c>
      <c r="AC678" t="n">
        <v>3</v>
      </c>
      <c r="AD678" t="n">
        <v>5</v>
      </c>
      <c r="AE678" t="n">
        <v>5</v>
      </c>
      <c r="AF678" t="n">
        <v>1</v>
      </c>
      <c r="AG678" t="n">
        <v>1</v>
      </c>
      <c r="AH678" t="n">
        <v>2</v>
      </c>
      <c r="AI678" t="n">
        <v>2</v>
      </c>
      <c r="AJ678" t="n">
        <v>3</v>
      </c>
      <c r="AK678" t="n">
        <v>3</v>
      </c>
      <c r="AL678" t="n">
        <v>1</v>
      </c>
      <c r="AM678" t="n">
        <v>1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HYPERLINK("http://catalog.hathitrust.org/Record/001946683","HathiTrust Record")</f>
        <v/>
      </c>
      <c r="AS678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8">
        <f>HYPERLINK("http://www.worldcat.org/oclc/20168118","WorldCat Record")</f>
        <v/>
      </c>
    </row>
    <row r="679">
      <c r="A679" t="inlineStr">
        <is>
          <t>No</t>
        </is>
      </c>
      <c r="B679" t="inlineStr">
        <is>
          <t>QV 744 C737 1990</t>
        </is>
      </c>
      <c r="C679" t="inlineStr">
        <is>
          <t>0                      QV 0744000C  737         1990</t>
        </is>
      </c>
      <c r="D679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9" t="inlineStr">
        <is>
          <t>V. 6</t>
        </is>
      </c>
      <c r="F679" t="inlineStr">
        <is>
          <t>Yes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L679" t="inlineStr">
        <is>
          <t>Oxford ; New York : Pergamon Press, c1990.</t>
        </is>
      </c>
      <c r="M679" t="inlineStr">
        <is>
          <t>1990</t>
        </is>
      </c>
      <c r="N679" t="inlineStr">
        <is>
          <t>1st ed.</t>
        </is>
      </c>
      <c r="O679" t="inlineStr">
        <is>
          <t>eng</t>
        </is>
      </c>
      <c r="P679" t="inlineStr">
        <is>
          <t>enk</t>
        </is>
      </c>
      <c r="R679" t="inlineStr">
        <is>
          <t xml:space="preserve">QV </t>
        </is>
      </c>
      <c r="S679" t="n">
        <v>21</v>
      </c>
      <c r="T679" t="n">
        <v>94</v>
      </c>
      <c r="U679" t="inlineStr">
        <is>
          <t>1996-03-22</t>
        </is>
      </c>
      <c r="V679" t="inlineStr">
        <is>
          <t>2005-11-18</t>
        </is>
      </c>
      <c r="W679" t="inlineStr">
        <is>
          <t>1990-06-21</t>
        </is>
      </c>
      <c r="X679" t="inlineStr">
        <is>
          <t>1990-06-21</t>
        </is>
      </c>
      <c r="Y679" t="n">
        <v>257</v>
      </c>
      <c r="Z679" t="n">
        <v>193</v>
      </c>
      <c r="AA679" t="n">
        <v>197</v>
      </c>
      <c r="AB679" t="n">
        <v>3</v>
      </c>
      <c r="AC679" t="n">
        <v>3</v>
      </c>
      <c r="AD679" t="n">
        <v>5</v>
      </c>
      <c r="AE679" t="n">
        <v>5</v>
      </c>
      <c r="AF679" t="n">
        <v>1</v>
      </c>
      <c r="AG679" t="n">
        <v>1</v>
      </c>
      <c r="AH679" t="n">
        <v>2</v>
      </c>
      <c r="AI679" t="n">
        <v>2</v>
      </c>
      <c r="AJ679" t="n">
        <v>3</v>
      </c>
      <c r="AK679" t="n">
        <v>3</v>
      </c>
      <c r="AL679" t="n">
        <v>1</v>
      </c>
      <c r="AM679" t="n">
        <v>1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HYPERLINK("http://catalog.hathitrust.org/Record/001946683","HathiTrust Record")</f>
        <v/>
      </c>
      <c r="AS679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9">
        <f>HYPERLINK("http://www.worldcat.org/oclc/20168118","WorldCat Record")</f>
        <v/>
      </c>
    </row>
    <row r="680">
      <c r="A680" t="inlineStr">
        <is>
          <t>No</t>
        </is>
      </c>
      <c r="B680" t="inlineStr">
        <is>
          <t>QV 744 C737 1990</t>
        </is>
      </c>
      <c r="C680" t="inlineStr">
        <is>
          <t>0                      QV 0744000C  737         1990</t>
        </is>
      </c>
      <c r="D680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0" t="inlineStr">
        <is>
          <t>V. 5</t>
        </is>
      </c>
      <c r="F680" t="inlineStr">
        <is>
          <t>Yes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L680" t="inlineStr">
        <is>
          <t>Oxford ; New York : Pergamon Press, c1990.</t>
        </is>
      </c>
      <c r="M680" t="inlineStr">
        <is>
          <t>1990</t>
        </is>
      </c>
      <c r="N680" t="inlineStr">
        <is>
          <t>1st ed.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QV </t>
        </is>
      </c>
      <c r="S680" t="n">
        <v>6</v>
      </c>
      <c r="T680" t="n">
        <v>94</v>
      </c>
      <c r="U680" t="inlineStr">
        <is>
          <t>1997-03-20</t>
        </is>
      </c>
      <c r="V680" t="inlineStr">
        <is>
          <t>2005-11-18</t>
        </is>
      </c>
      <c r="W680" t="inlineStr">
        <is>
          <t>1990-06-21</t>
        </is>
      </c>
      <c r="X680" t="inlineStr">
        <is>
          <t>1990-06-21</t>
        </is>
      </c>
      <c r="Y680" t="n">
        <v>257</v>
      </c>
      <c r="Z680" t="n">
        <v>193</v>
      </c>
      <c r="AA680" t="n">
        <v>197</v>
      </c>
      <c r="AB680" t="n">
        <v>3</v>
      </c>
      <c r="AC680" t="n">
        <v>3</v>
      </c>
      <c r="AD680" t="n">
        <v>5</v>
      </c>
      <c r="AE680" t="n">
        <v>5</v>
      </c>
      <c r="AF680" t="n">
        <v>1</v>
      </c>
      <c r="AG680" t="n">
        <v>1</v>
      </c>
      <c r="AH680" t="n">
        <v>2</v>
      </c>
      <c r="AI680" t="n">
        <v>2</v>
      </c>
      <c r="AJ680" t="n">
        <v>3</v>
      </c>
      <c r="AK680" t="n">
        <v>3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HYPERLINK("http://catalog.hathitrust.org/Record/001946683","HathiTrust Record")</f>
        <v/>
      </c>
      <c r="AS680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0">
        <f>HYPERLINK("http://www.worldcat.org/oclc/20168118","WorldCat Record")</f>
        <v/>
      </c>
    </row>
    <row r="681">
      <c r="A681" t="inlineStr">
        <is>
          <t>No</t>
        </is>
      </c>
      <c r="B681" t="inlineStr">
        <is>
          <t>QV 744 C737 1990</t>
        </is>
      </c>
      <c r="C681" t="inlineStr">
        <is>
          <t>0                      QV 0744000C  737         1990</t>
        </is>
      </c>
      <c r="D681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1" t="inlineStr">
        <is>
          <t>V. 1</t>
        </is>
      </c>
      <c r="F681" t="inlineStr">
        <is>
          <t>Yes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L681" t="inlineStr">
        <is>
          <t>Oxford ; New York : Pergamon Press, c1990.</t>
        </is>
      </c>
      <c r="M681" t="inlineStr">
        <is>
          <t>1990</t>
        </is>
      </c>
      <c r="N681" t="inlineStr">
        <is>
          <t>1st ed.</t>
        </is>
      </c>
      <c r="O681" t="inlineStr">
        <is>
          <t>eng</t>
        </is>
      </c>
      <c r="P681" t="inlineStr">
        <is>
          <t>enk</t>
        </is>
      </c>
      <c r="R681" t="inlineStr">
        <is>
          <t xml:space="preserve">QV </t>
        </is>
      </c>
      <c r="S681" t="n">
        <v>15</v>
      </c>
      <c r="T681" t="n">
        <v>94</v>
      </c>
      <c r="U681" t="inlineStr">
        <is>
          <t>1997-04-10</t>
        </is>
      </c>
      <c r="V681" t="inlineStr">
        <is>
          <t>2005-11-18</t>
        </is>
      </c>
      <c r="W681" t="inlineStr">
        <is>
          <t>1990-06-21</t>
        </is>
      </c>
      <c r="X681" t="inlineStr">
        <is>
          <t>1990-06-21</t>
        </is>
      </c>
      <c r="Y681" t="n">
        <v>257</v>
      </c>
      <c r="Z681" t="n">
        <v>193</v>
      </c>
      <c r="AA681" t="n">
        <v>197</v>
      </c>
      <c r="AB681" t="n">
        <v>3</v>
      </c>
      <c r="AC681" t="n">
        <v>3</v>
      </c>
      <c r="AD681" t="n">
        <v>5</v>
      </c>
      <c r="AE681" t="n">
        <v>5</v>
      </c>
      <c r="AF681" t="n">
        <v>1</v>
      </c>
      <c r="AG681" t="n">
        <v>1</v>
      </c>
      <c r="AH681" t="n">
        <v>2</v>
      </c>
      <c r="AI681" t="n">
        <v>2</v>
      </c>
      <c r="AJ681" t="n">
        <v>3</v>
      </c>
      <c r="AK681" t="n">
        <v>3</v>
      </c>
      <c r="AL681" t="n">
        <v>1</v>
      </c>
      <c r="AM681" t="n">
        <v>1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HYPERLINK("http://catalog.hathitrust.org/Record/001946683","HathiTrust Record")</f>
        <v/>
      </c>
      <c r="AS681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1">
        <f>HYPERLINK("http://www.worldcat.org/oclc/20168118","WorldCat Record")</f>
        <v/>
      </c>
    </row>
    <row r="682">
      <c r="A682" t="inlineStr">
        <is>
          <t>No</t>
        </is>
      </c>
      <c r="B682" t="inlineStr">
        <is>
          <t>QV 744 C737 1990</t>
        </is>
      </c>
      <c r="C682" t="inlineStr">
        <is>
          <t>0                      QV 0744000C  737         1990</t>
        </is>
      </c>
      <c r="D682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2" t="inlineStr">
        <is>
          <t>V. 2</t>
        </is>
      </c>
      <c r="F682" t="inlineStr">
        <is>
          <t>Yes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L682" t="inlineStr">
        <is>
          <t>Oxford ; New York : Pergamon Press, c1990.</t>
        </is>
      </c>
      <c r="M682" t="inlineStr">
        <is>
          <t>1990</t>
        </is>
      </c>
      <c r="N682" t="inlineStr">
        <is>
          <t>1st ed.</t>
        </is>
      </c>
      <c r="O682" t="inlineStr">
        <is>
          <t>eng</t>
        </is>
      </c>
      <c r="P682" t="inlineStr">
        <is>
          <t>enk</t>
        </is>
      </c>
      <c r="R682" t="inlineStr">
        <is>
          <t xml:space="preserve">QV </t>
        </is>
      </c>
      <c r="S682" t="n">
        <v>15</v>
      </c>
      <c r="T682" t="n">
        <v>94</v>
      </c>
      <c r="U682" t="inlineStr">
        <is>
          <t>2005-11-18</t>
        </is>
      </c>
      <c r="V682" t="inlineStr">
        <is>
          <t>2005-11-18</t>
        </is>
      </c>
      <c r="W682" t="inlineStr">
        <is>
          <t>1990-06-21</t>
        </is>
      </c>
      <c r="X682" t="inlineStr">
        <is>
          <t>1990-06-21</t>
        </is>
      </c>
      <c r="Y682" t="n">
        <v>257</v>
      </c>
      <c r="Z682" t="n">
        <v>193</v>
      </c>
      <c r="AA682" t="n">
        <v>197</v>
      </c>
      <c r="AB682" t="n">
        <v>3</v>
      </c>
      <c r="AC682" t="n">
        <v>3</v>
      </c>
      <c r="AD682" t="n">
        <v>5</v>
      </c>
      <c r="AE682" t="n">
        <v>5</v>
      </c>
      <c r="AF682" t="n">
        <v>1</v>
      </c>
      <c r="AG682" t="n">
        <v>1</v>
      </c>
      <c r="AH682" t="n">
        <v>2</v>
      </c>
      <c r="AI682" t="n">
        <v>2</v>
      </c>
      <c r="AJ682" t="n">
        <v>3</v>
      </c>
      <c r="AK682" t="n">
        <v>3</v>
      </c>
      <c r="AL682" t="n">
        <v>1</v>
      </c>
      <c r="AM682" t="n">
        <v>1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HYPERLINK("http://catalog.hathitrust.org/Record/001946683","HathiTrust Record")</f>
        <v/>
      </c>
      <c r="AS682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2">
        <f>HYPERLINK("http://www.worldcat.org/oclc/20168118","WorldCat Record")</f>
        <v/>
      </c>
    </row>
    <row r="683">
      <c r="A683" t="inlineStr">
        <is>
          <t>No</t>
        </is>
      </c>
      <c r="B683" t="inlineStr">
        <is>
          <t>QV 744 D7943 1993</t>
        </is>
      </c>
      <c r="C683" t="inlineStr">
        <is>
          <t>0                      QV 0744000D  7943        1993</t>
        </is>
      </c>
      <c r="D683" t="inlineStr">
        <is>
          <t>Drug stereochemistry : analytical methods and pharmacology / edited by Irving W. Wainer.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L683" t="inlineStr">
        <is>
          <t>New York : M. Dekker, c1993.</t>
        </is>
      </c>
      <c r="M683" t="inlineStr">
        <is>
          <t>1993</t>
        </is>
      </c>
      <c r="N683" t="inlineStr">
        <is>
          <t>2nd ed., rev. and expanded.</t>
        </is>
      </c>
      <c r="O683" t="inlineStr">
        <is>
          <t>eng</t>
        </is>
      </c>
      <c r="P683" t="inlineStr">
        <is>
          <t>nyu</t>
        </is>
      </c>
      <c r="Q683" t="inlineStr">
        <is>
          <t>Clinical pharmacology ; 18</t>
        </is>
      </c>
      <c r="R683" t="inlineStr">
        <is>
          <t xml:space="preserve">QV </t>
        </is>
      </c>
      <c r="S683" t="n">
        <v>6</v>
      </c>
      <c r="T683" t="n">
        <v>6</v>
      </c>
      <c r="U683" t="inlineStr">
        <is>
          <t>2001-12-06</t>
        </is>
      </c>
      <c r="V683" t="inlineStr">
        <is>
          <t>2001-12-06</t>
        </is>
      </c>
      <c r="W683" t="inlineStr">
        <is>
          <t>1993-08-31</t>
        </is>
      </c>
      <c r="X683" t="inlineStr">
        <is>
          <t>1993-08-31</t>
        </is>
      </c>
      <c r="Y683" t="n">
        <v>150</v>
      </c>
      <c r="Z683" t="n">
        <v>98</v>
      </c>
      <c r="AA683" t="n">
        <v>179</v>
      </c>
      <c r="AB683" t="n">
        <v>1</v>
      </c>
      <c r="AC683" t="n">
        <v>1</v>
      </c>
      <c r="AD683" t="n">
        <v>3</v>
      </c>
      <c r="AE683" t="n">
        <v>6</v>
      </c>
      <c r="AF683" t="n">
        <v>1</v>
      </c>
      <c r="AG683" t="n">
        <v>1</v>
      </c>
      <c r="AH683" t="n">
        <v>1</v>
      </c>
      <c r="AI683" t="n">
        <v>2</v>
      </c>
      <c r="AJ683" t="n">
        <v>1</v>
      </c>
      <c r="AK683" t="n">
        <v>2</v>
      </c>
      <c r="AL683" t="n">
        <v>0</v>
      </c>
      <c r="AM683" t="n">
        <v>0</v>
      </c>
      <c r="AN683" t="n">
        <v>0</v>
      </c>
      <c r="AO683" t="n">
        <v>1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HYPERLINK("https://creighton-primo.hosted.exlibrisgroup.com/primo-explore/search?tab=default_tab&amp;search_scope=EVERYTHING&amp;vid=01CRU&amp;lang=en_US&amp;offset=0&amp;query=any,contains,991001512039702656","Catalog Record")</f>
        <v/>
      </c>
      <c r="AT683">
        <f>HYPERLINK("http://www.worldcat.org/oclc/27187740","WorldCat Record")</f>
        <v/>
      </c>
    </row>
    <row r="684">
      <c r="A684" t="inlineStr">
        <is>
          <t>No</t>
        </is>
      </c>
      <c r="B684" t="inlineStr">
        <is>
          <t>QV 744 F796p 1981</t>
        </is>
      </c>
      <c r="C684" t="inlineStr">
        <is>
          <t>0                      QV 0744000F  796p        1981</t>
        </is>
      </c>
      <c r="D684" t="inlineStr">
        <is>
          <t>Principles of medicinal chemistry / edited by William O. Foye.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Foye, William O.</t>
        </is>
      </c>
      <c r="L684" t="inlineStr">
        <is>
          <t>Philadelphia : Lea &amp; Febiger, 1981.</t>
        </is>
      </c>
      <c r="M684" t="inlineStr">
        <is>
          <t>1981</t>
        </is>
      </c>
      <c r="N684" t="inlineStr">
        <is>
          <t>2d ed.</t>
        </is>
      </c>
      <c r="O684" t="inlineStr">
        <is>
          <t>eng</t>
        </is>
      </c>
      <c r="P684" t="inlineStr">
        <is>
          <t>pau</t>
        </is>
      </c>
      <c r="R684" t="inlineStr">
        <is>
          <t xml:space="preserve">QV </t>
        </is>
      </c>
      <c r="S684" t="n">
        <v>24</v>
      </c>
      <c r="T684" t="n">
        <v>24</v>
      </c>
      <c r="U684" t="inlineStr">
        <is>
          <t>2003-09-07</t>
        </is>
      </c>
      <c r="V684" t="inlineStr">
        <is>
          <t>2003-09-07</t>
        </is>
      </c>
      <c r="W684" t="inlineStr">
        <is>
          <t>1987-09-29</t>
        </is>
      </c>
      <c r="X684" t="inlineStr">
        <is>
          <t>1987-09-29</t>
        </is>
      </c>
      <c r="Y684" t="n">
        <v>198</v>
      </c>
      <c r="Z684" t="n">
        <v>134</v>
      </c>
      <c r="AA684" t="n">
        <v>198</v>
      </c>
      <c r="AB684" t="n">
        <v>1</v>
      </c>
      <c r="AC684" t="n">
        <v>1</v>
      </c>
      <c r="AD684" t="n">
        <v>3</v>
      </c>
      <c r="AE684" t="n">
        <v>3</v>
      </c>
      <c r="AF684" t="n">
        <v>1</v>
      </c>
      <c r="AG684" t="n">
        <v>1</v>
      </c>
      <c r="AH684" t="n">
        <v>1</v>
      </c>
      <c r="AI684" t="n">
        <v>1</v>
      </c>
      <c r="AJ684" t="n">
        <v>1</v>
      </c>
      <c r="AK684" t="n">
        <v>1</v>
      </c>
      <c r="AL684" t="n">
        <v>0</v>
      </c>
      <c r="AM684" t="n">
        <v>0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HYPERLINK("http://catalog.hathitrust.org/Record/000707573","HathiTrust Record")</f>
        <v/>
      </c>
      <c r="AS684">
        <f>HYPERLINK("https://creighton-primo.hosted.exlibrisgroup.com/primo-explore/search?tab=default_tab&amp;search_scope=EVERYTHING&amp;vid=01CRU&amp;lang=en_US&amp;offset=0&amp;query=any,contains,991000748399702656","Catalog Record")</f>
        <v/>
      </c>
      <c r="AT684">
        <f>HYPERLINK("http://www.worldcat.org/oclc/6579734","WorldCat Record")</f>
        <v/>
      </c>
    </row>
    <row r="685">
      <c r="A685" t="inlineStr">
        <is>
          <t>No</t>
        </is>
      </c>
      <c r="B685" t="inlineStr">
        <is>
          <t>QV 744 I58 1974</t>
        </is>
      </c>
      <c r="C685" t="inlineStr">
        <is>
          <t>0                      QV 0744000I  58          1974</t>
        </is>
      </c>
      <c r="D685" t="inlineStr">
        <is>
          <t>Inorganic medicinal and pharmaceutical chemistry [by] John H. Block [et al.]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L685" t="inlineStr">
        <is>
          <t>Philadelphia : Lea &amp; Febiger, 1974.</t>
        </is>
      </c>
      <c r="M685" t="inlineStr">
        <is>
          <t>1974</t>
        </is>
      </c>
      <c r="O685" t="inlineStr">
        <is>
          <t>eng</t>
        </is>
      </c>
      <c r="P685" t="inlineStr">
        <is>
          <t>pau</t>
        </is>
      </c>
      <c r="R685" t="inlineStr">
        <is>
          <t xml:space="preserve">QV </t>
        </is>
      </c>
      <c r="S685" t="n">
        <v>37</v>
      </c>
      <c r="T685" t="n">
        <v>37</v>
      </c>
      <c r="U685" t="inlineStr">
        <is>
          <t>1994-08-18</t>
        </is>
      </c>
      <c r="V685" t="inlineStr">
        <is>
          <t>1994-08-18</t>
        </is>
      </c>
      <c r="W685" t="inlineStr">
        <is>
          <t>1987-09-29</t>
        </is>
      </c>
      <c r="X685" t="inlineStr">
        <is>
          <t>1987-09-29</t>
        </is>
      </c>
      <c r="Y685" t="n">
        <v>166</v>
      </c>
      <c r="Z685" t="n">
        <v>112</v>
      </c>
      <c r="AA685" t="n">
        <v>114</v>
      </c>
      <c r="AB685" t="n">
        <v>2</v>
      </c>
      <c r="AC685" t="n">
        <v>2</v>
      </c>
      <c r="AD685" t="n">
        <v>4</v>
      </c>
      <c r="AE685" t="n">
        <v>4</v>
      </c>
      <c r="AF685" t="n">
        <v>2</v>
      </c>
      <c r="AG685" t="n">
        <v>2</v>
      </c>
      <c r="AH685" t="n">
        <v>1</v>
      </c>
      <c r="AI685" t="n">
        <v>1</v>
      </c>
      <c r="AJ685" t="n">
        <v>0</v>
      </c>
      <c r="AK685" t="n">
        <v>0</v>
      </c>
      <c r="AL685" t="n">
        <v>1</v>
      </c>
      <c r="AM685" t="n">
        <v>1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HYPERLINK("http://catalog.hathitrust.org/Record/001579393","HathiTrust Record")</f>
        <v/>
      </c>
      <c r="AS685">
        <f>HYPERLINK("https://creighton-primo.hosted.exlibrisgroup.com/primo-explore/search?tab=default_tab&amp;search_scope=EVERYTHING&amp;vid=01CRU&amp;lang=en_US&amp;offset=0&amp;query=any,contains,991000748469702656","Catalog Record")</f>
        <v/>
      </c>
      <c r="AT685">
        <f>HYPERLINK("http://www.worldcat.org/oclc/745967","WorldCat Record")</f>
        <v/>
      </c>
    </row>
    <row r="686">
      <c r="A686" t="inlineStr">
        <is>
          <t>No</t>
        </is>
      </c>
      <c r="B686" t="inlineStr">
        <is>
          <t>QV 744 J52c 1957</t>
        </is>
      </c>
      <c r="C686" t="inlineStr">
        <is>
          <t>0                      QV 0744000J  52c         1957</t>
        </is>
      </c>
      <c r="D686" t="inlineStr">
        <is>
          <t>The chemistry of organic medicinal products / by Glenn L. Jenkins.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Jenkins, Glenn L. (Glenn Llewellyn), 1898-1979.</t>
        </is>
      </c>
      <c r="L686" t="inlineStr">
        <is>
          <t>New York : Wiley, c1957.</t>
        </is>
      </c>
      <c r="M686" t="inlineStr">
        <is>
          <t>1957</t>
        </is>
      </c>
      <c r="N686" t="inlineStr">
        <is>
          <t>4th ed.</t>
        </is>
      </c>
      <c r="O686" t="inlineStr">
        <is>
          <t>eng</t>
        </is>
      </c>
      <c r="P686" t="inlineStr">
        <is>
          <t>nyu</t>
        </is>
      </c>
      <c r="R686" t="inlineStr">
        <is>
          <t xml:space="preserve">QV </t>
        </is>
      </c>
      <c r="S686" t="n">
        <v>3</v>
      </c>
      <c r="T686" t="n">
        <v>3</v>
      </c>
      <c r="U686" t="inlineStr">
        <is>
          <t>2004-09-13</t>
        </is>
      </c>
      <c r="V686" t="inlineStr">
        <is>
          <t>2004-09-13</t>
        </is>
      </c>
      <c r="W686" t="inlineStr">
        <is>
          <t>1988-02-04</t>
        </is>
      </c>
      <c r="X686" t="inlineStr">
        <is>
          <t>1988-02-04</t>
        </is>
      </c>
      <c r="Y686" t="n">
        <v>261</v>
      </c>
      <c r="Z686" t="n">
        <v>212</v>
      </c>
      <c r="AA686" t="n">
        <v>387</v>
      </c>
      <c r="AB686" t="n">
        <v>4</v>
      </c>
      <c r="AC686" t="n">
        <v>6</v>
      </c>
      <c r="AD686" t="n">
        <v>5</v>
      </c>
      <c r="AE686" t="n">
        <v>12</v>
      </c>
      <c r="AF686" t="n">
        <v>1</v>
      </c>
      <c r="AG686" t="n">
        <v>4</v>
      </c>
      <c r="AH686" t="n">
        <v>1</v>
      </c>
      <c r="AI686" t="n">
        <v>2</v>
      </c>
      <c r="AJ686" t="n">
        <v>1</v>
      </c>
      <c r="AK686" t="n">
        <v>5</v>
      </c>
      <c r="AL686" t="n">
        <v>3</v>
      </c>
      <c r="AM686" t="n">
        <v>5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HYPERLINK("http://catalog.hathitrust.org/Record/001579394","HathiTrust Record")</f>
        <v/>
      </c>
      <c r="AS686">
        <f>HYPERLINK("https://creighton-primo.hosted.exlibrisgroup.com/primo-explore/search?tab=default_tab&amp;search_scope=EVERYTHING&amp;vid=01CRU&amp;lang=en_US&amp;offset=0&amp;query=any,contains,991000991389702656","Catalog Record")</f>
        <v/>
      </c>
      <c r="AT686">
        <f>HYPERLINK("http://www.worldcat.org/oclc/831412","WorldCat Record")</f>
        <v/>
      </c>
    </row>
    <row r="687">
      <c r="A687" t="inlineStr">
        <is>
          <t>No</t>
        </is>
      </c>
      <c r="B687" t="inlineStr">
        <is>
          <t>QV 744 L554r 1992</t>
        </is>
      </c>
      <c r="C687" t="inlineStr">
        <is>
          <t>0                      QV 0744000L  554r        1992</t>
        </is>
      </c>
      <c r="D687" t="inlineStr">
        <is>
          <t>Review of organic functional groups : introduction to medicinal organic chemistry / Thomas L. Lemke.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Yes</t>
        </is>
      </c>
      <c r="J687" t="inlineStr">
        <is>
          <t>0</t>
        </is>
      </c>
      <c r="K687" t="inlineStr">
        <is>
          <t>Lemke, Thomas L.</t>
        </is>
      </c>
      <c r="L687" t="inlineStr">
        <is>
          <t>Philadelphia : Lea &amp; Febiger, c1992.</t>
        </is>
      </c>
      <c r="M687" t="inlineStr">
        <is>
          <t>1992</t>
        </is>
      </c>
      <c r="N687" t="inlineStr">
        <is>
          <t>3rd ed.</t>
        </is>
      </c>
      <c r="O687" t="inlineStr">
        <is>
          <t>eng</t>
        </is>
      </c>
      <c r="P687" t="inlineStr">
        <is>
          <t>pau</t>
        </is>
      </c>
      <c r="R687" t="inlineStr">
        <is>
          <t xml:space="preserve">QV </t>
        </is>
      </c>
      <c r="S687" t="n">
        <v>34</v>
      </c>
      <c r="T687" t="n">
        <v>34</v>
      </c>
      <c r="U687" t="inlineStr">
        <is>
          <t>2010-05-19</t>
        </is>
      </c>
      <c r="V687" t="inlineStr">
        <is>
          <t>2010-05-19</t>
        </is>
      </c>
      <c r="W687" t="inlineStr">
        <is>
          <t>1995-06-22</t>
        </is>
      </c>
      <c r="X687" t="inlineStr">
        <is>
          <t>1995-06-22</t>
        </is>
      </c>
      <c r="Y687" t="n">
        <v>102</v>
      </c>
      <c r="Z687" t="n">
        <v>73</v>
      </c>
      <c r="AA687" t="n">
        <v>266</v>
      </c>
      <c r="AB687" t="n">
        <v>1</v>
      </c>
      <c r="AC687" t="n">
        <v>1</v>
      </c>
      <c r="AD687" t="n">
        <v>4</v>
      </c>
      <c r="AE687" t="n">
        <v>12</v>
      </c>
      <c r="AF687" t="n">
        <v>3</v>
      </c>
      <c r="AG687" t="n">
        <v>8</v>
      </c>
      <c r="AH687" t="n">
        <v>1</v>
      </c>
      <c r="AI687" t="n">
        <v>4</v>
      </c>
      <c r="AJ687" t="n">
        <v>1</v>
      </c>
      <c r="AK687" t="n">
        <v>3</v>
      </c>
      <c r="AL687" t="n">
        <v>0</v>
      </c>
      <c r="AM687" t="n">
        <v>0</v>
      </c>
      <c r="AN687" t="n">
        <v>0</v>
      </c>
      <c r="AO687" t="n">
        <v>0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HYPERLINK("http://catalog.hathitrust.org/Record/002530377","HathiTrust Record")</f>
        <v/>
      </c>
      <c r="AS687">
        <f>HYPERLINK("https://creighton-primo.hosted.exlibrisgroup.com/primo-explore/search?tab=default_tab&amp;search_scope=EVERYTHING&amp;vid=01CRU&amp;lang=en_US&amp;offset=0&amp;query=any,contains,991001401439702656","Catalog Record")</f>
        <v/>
      </c>
      <c r="AT687">
        <f>HYPERLINK("http://www.worldcat.org/oclc/23941653","WorldCat Record")</f>
        <v/>
      </c>
    </row>
    <row r="688">
      <c r="A688" t="inlineStr">
        <is>
          <t>No</t>
        </is>
      </c>
      <c r="B688" t="inlineStr">
        <is>
          <t>QV 744 P957 1995</t>
        </is>
      </c>
      <c r="C688" t="inlineStr">
        <is>
          <t>0                      QV 0744000P  957         1995</t>
        </is>
      </c>
      <c r="D688" t="inlineStr">
        <is>
          <t>Principles of medicinal chemistry / [edited by] William O. Foye, Thomas L. Lemke, David A. Williams.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L688" t="inlineStr">
        <is>
          <t>Baltimore ; Williams &amp; Wilkins, c1995.</t>
        </is>
      </c>
      <c r="M688" t="inlineStr">
        <is>
          <t>1995</t>
        </is>
      </c>
      <c r="N688" t="inlineStr">
        <is>
          <t>4th ed.</t>
        </is>
      </c>
      <c r="O688" t="inlineStr">
        <is>
          <t>eng</t>
        </is>
      </c>
      <c r="P688" t="inlineStr">
        <is>
          <t>pau</t>
        </is>
      </c>
      <c r="R688" t="inlineStr">
        <is>
          <t xml:space="preserve">QV </t>
        </is>
      </c>
      <c r="S688" t="n">
        <v>202</v>
      </c>
      <c r="T688" t="n">
        <v>202</v>
      </c>
      <c r="U688" t="inlineStr">
        <is>
          <t>2010-12-04</t>
        </is>
      </c>
      <c r="V688" t="inlineStr">
        <is>
          <t>2010-12-04</t>
        </is>
      </c>
      <c r="W688" t="inlineStr">
        <is>
          <t>1996-05-01</t>
        </is>
      </c>
      <c r="X688" t="inlineStr">
        <is>
          <t>1996-05-01</t>
        </is>
      </c>
      <c r="Y688" t="n">
        <v>232</v>
      </c>
      <c r="Z688" t="n">
        <v>147</v>
      </c>
      <c r="AA688" t="n">
        <v>211</v>
      </c>
      <c r="AB688" t="n">
        <v>1</v>
      </c>
      <c r="AC688" t="n">
        <v>1</v>
      </c>
      <c r="AD688" t="n">
        <v>8</v>
      </c>
      <c r="AE688" t="n">
        <v>9</v>
      </c>
      <c r="AF688" t="n">
        <v>4</v>
      </c>
      <c r="AG688" t="n">
        <v>4</v>
      </c>
      <c r="AH688" t="n">
        <v>2</v>
      </c>
      <c r="AI688" t="n">
        <v>2</v>
      </c>
      <c r="AJ688" t="n">
        <v>4</v>
      </c>
      <c r="AK688" t="n">
        <v>5</v>
      </c>
      <c r="AL688" t="n">
        <v>0</v>
      </c>
      <c r="AM688" t="n">
        <v>0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HYPERLINK("http://catalog.hathitrust.org/Record/004572487","HathiTrust Record")</f>
        <v/>
      </c>
      <c r="AS688">
        <f>HYPERLINK("https://creighton-primo.hosted.exlibrisgroup.com/primo-explore/search?tab=default_tab&amp;search_scope=EVERYTHING&amp;vid=01CRU&amp;lang=en_US&amp;offset=0&amp;query=any,contains,991001491849702656","Catalog Record")</f>
        <v/>
      </c>
      <c r="AT688">
        <f>HYPERLINK("http://www.worldcat.org/oclc/30892084","WorldCat Record")</f>
        <v/>
      </c>
    </row>
    <row r="689">
      <c r="A689" t="inlineStr">
        <is>
          <t>No</t>
        </is>
      </c>
      <c r="B689" t="inlineStr">
        <is>
          <t>QV 744 R845a 1991 v.2</t>
        </is>
      </c>
      <c r="C689" t="inlineStr">
        <is>
          <t>0                      QV 0744000R  845a        1991                                        v.2</t>
        </is>
      </c>
      <c r="D689" t="inlineStr">
        <is>
          <t>Pharmaceutical chemistry / H.J. Roth and A. Kleemann, in collaboration with T. Beisswenger ; translated by M.D. Cooke ; special consultant, P.G. Sammes.</t>
        </is>
      </c>
      <c r="E689" t="inlineStr">
        <is>
          <t>V.2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Roth, Hermann J.</t>
        </is>
      </c>
      <c r="L689" t="inlineStr">
        <is>
          <t>Chichester : Ellis Horwood ; New York : Halstead Press, c1991.</t>
        </is>
      </c>
      <c r="M689" t="inlineStr">
        <is>
          <t>1991</t>
        </is>
      </c>
      <c r="O689" t="inlineStr">
        <is>
          <t>eng</t>
        </is>
      </c>
      <c r="P689" t="inlineStr">
        <is>
          <t>enk</t>
        </is>
      </c>
      <c r="Q689" t="inlineStr">
        <is>
          <t>v. 2: Ellis Horwood series in pharmaceutical technology</t>
        </is>
      </c>
      <c r="R689" t="inlineStr">
        <is>
          <t xml:space="preserve">QV </t>
        </is>
      </c>
      <c r="S689" t="n">
        <v>20</v>
      </c>
      <c r="T689" t="n">
        <v>20</v>
      </c>
      <c r="U689" t="inlineStr">
        <is>
          <t>2006-08-03</t>
        </is>
      </c>
      <c r="V689" t="inlineStr">
        <is>
          <t>2006-08-03</t>
        </is>
      </c>
      <c r="W689" t="inlineStr">
        <is>
          <t>1992-02-20</t>
        </is>
      </c>
      <c r="X689" t="inlineStr">
        <is>
          <t>1992-02-20</t>
        </is>
      </c>
      <c r="Y689" t="n">
        <v>106</v>
      </c>
      <c r="Z689" t="n">
        <v>62</v>
      </c>
      <c r="AA689" t="n">
        <v>64</v>
      </c>
      <c r="AB689" t="n">
        <v>1</v>
      </c>
      <c r="AC689" t="n">
        <v>1</v>
      </c>
      <c r="AD689" t="n">
        <v>2</v>
      </c>
      <c r="AE689" t="n">
        <v>2</v>
      </c>
      <c r="AF689" t="n">
        <v>1</v>
      </c>
      <c r="AG689" t="n">
        <v>1</v>
      </c>
      <c r="AH689" t="n">
        <v>1</v>
      </c>
      <c r="AI689" t="n">
        <v>1</v>
      </c>
      <c r="AJ689" t="n">
        <v>0</v>
      </c>
      <c r="AK689" t="n">
        <v>0</v>
      </c>
      <c r="AL689" t="n">
        <v>0</v>
      </c>
      <c r="AM689" t="n">
        <v>0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HYPERLINK("http://catalog.hathitrust.org/Record/000951229","HathiTrust Record")</f>
        <v/>
      </c>
      <c r="AS689">
        <f>HYPERLINK("https://creighton-primo.hosted.exlibrisgroup.com/primo-explore/search?tab=default_tab&amp;search_scope=EVERYTHING&amp;vid=01CRU&amp;lang=en_US&amp;offset=0&amp;query=any,contains,991001297119702656","Catalog Record")</f>
        <v/>
      </c>
      <c r="AT689">
        <f>HYPERLINK("http://www.worldcat.org/oclc/17440756","WorldCat Record")</f>
        <v/>
      </c>
    </row>
    <row r="690">
      <c r="A690" t="inlineStr">
        <is>
          <t>No</t>
        </is>
      </c>
      <c r="B690" t="inlineStr">
        <is>
          <t>QV 744 W754 1991</t>
        </is>
      </c>
      <c r="C690" t="inlineStr">
        <is>
          <t>0                      QV 0744000W  754         1991</t>
        </is>
      </c>
      <c r="D690" t="inlineStr">
        <is>
          <t>Wilson and Gisvold's textbook of organic medicinal and pharmaceutical chemistry.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Yes</t>
        </is>
      </c>
      <c r="J690" t="inlineStr">
        <is>
          <t>0</t>
        </is>
      </c>
      <c r="L690" t="inlineStr">
        <is>
          <t>Philadelphia : Lippincott, c1991.</t>
        </is>
      </c>
      <c r="M690" t="inlineStr">
        <is>
          <t>1991</t>
        </is>
      </c>
      <c r="N690" t="inlineStr">
        <is>
          <t>9th ed. / edited by Jaime N. Delgado and William A. Remers ; 17 contributors.</t>
        </is>
      </c>
      <c r="O690" t="inlineStr">
        <is>
          <t>eng</t>
        </is>
      </c>
      <c r="P690" t="inlineStr">
        <is>
          <t>xxu</t>
        </is>
      </c>
      <c r="R690" t="inlineStr">
        <is>
          <t xml:space="preserve">QV </t>
        </is>
      </c>
      <c r="S690" t="n">
        <v>120</v>
      </c>
      <c r="T690" t="n">
        <v>120</v>
      </c>
      <c r="U690" t="inlineStr">
        <is>
          <t>2003-09-07</t>
        </is>
      </c>
      <c r="V690" t="inlineStr">
        <is>
          <t>2003-09-07</t>
        </is>
      </c>
      <c r="W690" t="inlineStr">
        <is>
          <t>1991-07-26</t>
        </is>
      </c>
      <c r="X690" t="inlineStr">
        <is>
          <t>1991-07-26</t>
        </is>
      </c>
      <c r="Y690" t="n">
        <v>157</v>
      </c>
      <c r="Z690" t="n">
        <v>110</v>
      </c>
      <c r="AA690" t="n">
        <v>364</v>
      </c>
      <c r="AB690" t="n">
        <v>1</v>
      </c>
      <c r="AC690" t="n">
        <v>3</v>
      </c>
      <c r="AD690" t="n">
        <v>1</v>
      </c>
      <c r="AE690" t="n">
        <v>13</v>
      </c>
      <c r="AF690" t="n">
        <v>0</v>
      </c>
      <c r="AG690" t="n">
        <v>8</v>
      </c>
      <c r="AH690" t="n">
        <v>1</v>
      </c>
      <c r="AI690" t="n">
        <v>4</v>
      </c>
      <c r="AJ690" t="n">
        <v>0</v>
      </c>
      <c r="AK690" t="n">
        <v>3</v>
      </c>
      <c r="AL690" t="n">
        <v>0</v>
      </c>
      <c r="AM690" t="n">
        <v>1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HYPERLINK("http://catalog.hathitrust.org/Record/002443443","HathiTrust Record")</f>
        <v/>
      </c>
      <c r="AS690">
        <f>HYPERLINK("https://creighton-primo.hosted.exlibrisgroup.com/primo-explore/search?tab=default_tab&amp;search_scope=EVERYTHING&amp;vid=01CRU&amp;lang=en_US&amp;offset=0&amp;query=any,contains,991000943969702656","Catalog Record")</f>
        <v/>
      </c>
      <c r="AT690">
        <f>HYPERLINK("http://www.worldcat.org/oclc/22813514","WorldCat Record")</f>
        <v/>
      </c>
    </row>
    <row r="691">
      <c r="A691" t="inlineStr">
        <is>
          <t>No</t>
        </is>
      </c>
      <c r="B691" t="inlineStr">
        <is>
          <t>QV 748 D794 1989</t>
        </is>
      </c>
      <c r="C691" t="inlineStr">
        <is>
          <t>0                      QV 0748000D  794         1989</t>
        </is>
      </c>
      <c r="D691" t="inlineStr">
        <is>
          <t>Drug regimen review : a process guide for pharmacists.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L691" t="inlineStr">
        <is>
          <t>Philadelphia : Geriatric Pharmacy Institute, Philadelphia College of Pharmacy and Science ; Arlington, VA. : American Society of Consultant Pharmacists, 1989.</t>
        </is>
      </c>
      <c r="M691" t="inlineStr">
        <is>
          <t>1989</t>
        </is>
      </c>
      <c r="O691" t="inlineStr">
        <is>
          <t>eng</t>
        </is>
      </c>
      <c r="P691" t="inlineStr">
        <is>
          <t>nju</t>
        </is>
      </c>
      <c r="R691" t="inlineStr">
        <is>
          <t xml:space="preserve">QV </t>
        </is>
      </c>
      <c r="S691" t="n">
        <v>10</v>
      </c>
      <c r="T691" t="n">
        <v>10</v>
      </c>
      <c r="U691" t="inlineStr">
        <is>
          <t>1999-06-04</t>
        </is>
      </c>
      <c r="V691" t="inlineStr">
        <is>
          <t>1999-06-04</t>
        </is>
      </c>
      <c r="W691" t="inlineStr">
        <is>
          <t>1992-03-31</t>
        </is>
      </c>
      <c r="X691" t="inlineStr">
        <is>
          <t>1992-03-31</t>
        </is>
      </c>
      <c r="Y691" t="n">
        <v>8</v>
      </c>
      <c r="Z691" t="n">
        <v>8</v>
      </c>
      <c r="AA691" t="n">
        <v>18</v>
      </c>
      <c r="AB691" t="n">
        <v>1</v>
      </c>
      <c r="AC691" t="n">
        <v>1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0</v>
      </c>
      <c r="AM691" t="n">
        <v>0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HYPERLINK("https://creighton-primo.hosted.exlibrisgroup.com/primo-explore/search?tab=default_tab&amp;search_scope=EVERYTHING&amp;vid=01CRU&amp;lang=en_US&amp;offset=0&amp;query=any,contains,991001298779702656","Catalog Record")</f>
        <v/>
      </c>
      <c r="AT691">
        <f>HYPERLINK("http://www.worldcat.org/oclc/20803463","WorldCat Record")</f>
        <v/>
      </c>
    </row>
    <row r="692">
      <c r="A692" t="inlineStr">
        <is>
          <t>No</t>
        </is>
      </c>
      <c r="B692" t="inlineStr">
        <is>
          <t>QV 748 G778c 2006</t>
        </is>
      </c>
      <c r="C692" t="inlineStr">
        <is>
          <t>0                      QV 0748000G  778c        2006</t>
        </is>
      </c>
      <c r="D692" t="inlineStr">
        <is>
          <t>Calculate with confidence / Deborah C. Morris Gray.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Morris, Deborah Gray.</t>
        </is>
      </c>
      <c r="L692" t="inlineStr">
        <is>
          <t>St. Louis, Mo. ; London : Elsevier Mosby, 2006.</t>
        </is>
      </c>
      <c r="M692" t="inlineStr">
        <is>
          <t>2006</t>
        </is>
      </c>
      <c r="N692" t="inlineStr">
        <is>
          <t>4th ed.</t>
        </is>
      </c>
      <c r="O692" t="inlineStr">
        <is>
          <t>eng</t>
        </is>
      </c>
      <c r="P692" t="inlineStr">
        <is>
          <t>mou</t>
        </is>
      </c>
      <c r="R692" t="inlineStr">
        <is>
          <t xml:space="preserve">QV </t>
        </is>
      </c>
      <c r="S692" t="n">
        <v>0</v>
      </c>
      <c r="T692" t="n">
        <v>0</v>
      </c>
      <c r="U692" t="inlineStr">
        <is>
          <t>2006-09-03</t>
        </is>
      </c>
      <c r="V692" t="inlineStr">
        <is>
          <t>2006-09-03</t>
        </is>
      </c>
      <c r="W692" t="inlineStr">
        <is>
          <t>2006-08-25</t>
        </is>
      </c>
      <c r="X692" t="inlineStr">
        <is>
          <t>2006-08-25</t>
        </is>
      </c>
      <c r="Y692" t="n">
        <v>44</v>
      </c>
      <c r="Z692" t="n">
        <v>36</v>
      </c>
      <c r="AA692" t="n">
        <v>698</v>
      </c>
      <c r="AB692" t="n">
        <v>0</v>
      </c>
      <c r="AC692" t="n">
        <v>5</v>
      </c>
      <c r="AD692" t="n">
        <v>0</v>
      </c>
      <c r="AE692" t="n">
        <v>19</v>
      </c>
      <c r="AF692" t="n">
        <v>0</v>
      </c>
      <c r="AG692" t="n">
        <v>7</v>
      </c>
      <c r="AH692" t="n">
        <v>0</v>
      </c>
      <c r="AI692" t="n">
        <v>1</v>
      </c>
      <c r="AJ692" t="n">
        <v>0</v>
      </c>
      <c r="AK692" t="n">
        <v>8</v>
      </c>
      <c r="AL692" t="n">
        <v>0</v>
      </c>
      <c r="AM692" t="n">
        <v>3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HYPERLINK("https://creighton-primo.hosted.exlibrisgroup.com/primo-explore/search?tab=default_tab&amp;search_scope=EVERYTHING&amp;vid=01CRU&amp;lang=en_US&amp;offset=0&amp;query=any,contains,991001737179702656","Catalog Record")</f>
        <v/>
      </c>
      <c r="AT692">
        <f>HYPERLINK("http://www.worldcat.org/oclc/61424876","WorldCat Record")</f>
        <v/>
      </c>
    </row>
    <row r="693">
      <c r="A693" t="inlineStr">
        <is>
          <t>No</t>
        </is>
      </c>
      <c r="B693" t="inlineStr">
        <is>
          <t>QV 748 K26c 1988</t>
        </is>
      </c>
      <c r="C693" t="inlineStr">
        <is>
          <t>0                      QV 0748000K  26c         1988</t>
        </is>
      </c>
      <c r="D693" t="inlineStr">
        <is>
          <t>Clinical calculations : with applications to general and specialty areas / Joyce L. Kee, Sally M. Marshall.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Kee, Joyce LeFever.</t>
        </is>
      </c>
      <c r="L693" t="inlineStr">
        <is>
          <t>Philadelphia : Saunders, c1988.</t>
        </is>
      </c>
      <c r="M693" t="inlineStr">
        <is>
          <t>1988</t>
        </is>
      </c>
      <c r="O693" t="inlineStr">
        <is>
          <t>eng</t>
        </is>
      </c>
      <c r="P693" t="inlineStr">
        <is>
          <t>xxu</t>
        </is>
      </c>
      <c r="R693" t="inlineStr">
        <is>
          <t xml:space="preserve">QV </t>
        </is>
      </c>
      <c r="S693" t="n">
        <v>6</v>
      </c>
      <c r="T693" t="n">
        <v>6</v>
      </c>
      <c r="U693" t="inlineStr">
        <is>
          <t>2000-10-03</t>
        </is>
      </c>
      <c r="V693" t="inlineStr">
        <is>
          <t>2000-10-03</t>
        </is>
      </c>
      <c r="W693" t="inlineStr">
        <is>
          <t>1989-08-08</t>
        </is>
      </c>
      <c r="X693" t="inlineStr">
        <is>
          <t>1989-08-08</t>
        </is>
      </c>
      <c r="Y693" t="n">
        <v>113</v>
      </c>
      <c r="Z693" t="n">
        <v>101</v>
      </c>
      <c r="AA693" t="n">
        <v>764</v>
      </c>
      <c r="AB693" t="n">
        <v>2</v>
      </c>
      <c r="AC693" t="n">
        <v>3</v>
      </c>
      <c r="AD693" t="n">
        <v>1</v>
      </c>
      <c r="AE693" t="n">
        <v>18</v>
      </c>
      <c r="AF693" t="n">
        <v>1</v>
      </c>
      <c r="AG693" t="n">
        <v>9</v>
      </c>
      <c r="AH693" t="n">
        <v>0</v>
      </c>
      <c r="AI693" t="n">
        <v>3</v>
      </c>
      <c r="AJ693" t="n">
        <v>0</v>
      </c>
      <c r="AK693" t="n">
        <v>8</v>
      </c>
      <c r="AL693" t="n">
        <v>0</v>
      </c>
      <c r="AM693" t="n">
        <v>1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HYPERLINK("https://creighton-primo.hosted.exlibrisgroup.com/primo-explore/search?tab=default_tab&amp;search_scope=EVERYTHING&amp;vid=01CRU&amp;lang=en_US&amp;offset=0&amp;query=any,contains,991001313139702656","Catalog Record")</f>
        <v/>
      </c>
      <c r="AT693">
        <f>HYPERLINK("http://www.worldcat.org/oclc/17201041","WorldCat Record")</f>
        <v/>
      </c>
    </row>
    <row r="694">
      <c r="A694" t="inlineStr">
        <is>
          <t>No</t>
        </is>
      </c>
      <c r="B694" t="inlineStr">
        <is>
          <t>QV 748 M489d 1988</t>
        </is>
      </c>
      <c r="C694" t="inlineStr">
        <is>
          <t>0                      QV 0748000M  489d        1988</t>
        </is>
      </c>
      <c r="D694" t="inlineStr">
        <is>
          <t>Drug dosage calculations : a guide for clinical practice / Geraldine Ann Medici.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Medici, Geraldine Ann.</t>
        </is>
      </c>
      <c r="L694" t="inlineStr">
        <is>
          <t>Norwalk, Conn. : Appleton &amp; Lange, c1988.</t>
        </is>
      </c>
      <c r="M694" t="inlineStr">
        <is>
          <t>1988</t>
        </is>
      </c>
      <c r="N694" t="inlineStr">
        <is>
          <t>2nd ed.</t>
        </is>
      </c>
      <c r="O694" t="inlineStr">
        <is>
          <t>eng</t>
        </is>
      </c>
      <c r="P694" t="inlineStr">
        <is>
          <t>xxu</t>
        </is>
      </c>
      <c r="R694" t="inlineStr">
        <is>
          <t xml:space="preserve">QV </t>
        </is>
      </c>
      <c r="S694" t="n">
        <v>12</v>
      </c>
      <c r="T694" t="n">
        <v>12</v>
      </c>
      <c r="U694" t="inlineStr">
        <is>
          <t>1995-08-06</t>
        </is>
      </c>
      <c r="V694" t="inlineStr">
        <is>
          <t>1995-08-06</t>
        </is>
      </c>
      <c r="W694" t="inlineStr">
        <is>
          <t>1988-08-05</t>
        </is>
      </c>
      <c r="X694" t="inlineStr">
        <is>
          <t>1988-08-05</t>
        </is>
      </c>
      <c r="Y694" t="n">
        <v>101</v>
      </c>
      <c r="Z694" t="n">
        <v>80</v>
      </c>
      <c r="AA694" t="n">
        <v>124</v>
      </c>
      <c r="AB694" t="n">
        <v>1</v>
      </c>
      <c r="AC694" t="n">
        <v>1</v>
      </c>
      <c r="AD694" t="n">
        <v>0</v>
      </c>
      <c r="AE694" t="n">
        <v>2</v>
      </c>
      <c r="AF694" t="n">
        <v>0</v>
      </c>
      <c r="AG694" t="n">
        <v>1</v>
      </c>
      <c r="AH694" t="n">
        <v>0</v>
      </c>
      <c r="AI694" t="n">
        <v>0</v>
      </c>
      <c r="AJ694" t="n">
        <v>0</v>
      </c>
      <c r="AK694" t="n">
        <v>2</v>
      </c>
      <c r="AL694" t="n">
        <v>0</v>
      </c>
      <c r="AM694" t="n">
        <v>0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HYPERLINK("http://catalog.hathitrust.org/Record/001298407","HathiTrust Record")</f>
        <v/>
      </c>
      <c r="AS694">
        <f>HYPERLINK("https://creighton-primo.hosted.exlibrisgroup.com/primo-explore/search?tab=default_tab&amp;search_scope=EVERYTHING&amp;vid=01CRU&amp;lang=en_US&amp;offset=0&amp;query=any,contains,991001419079702656","Catalog Record")</f>
        <v/>
      </c>
      <c r="AT694">
        <f>HYPERLINK("http://www.worldcat.org/oclc/16525315","WorldCat Record")</f>
        <v/>
      </c>
    </row>
    <row r="695">
      <c r="A695" t="inlineStr">
        <is>
          <t>No</t>
        </is>
      </c>
      <c r="B695" t="inlineStr">
        <is>
          <t>QV 748 M694 1987</t>
        </is>
      </c>
      <c r="C695" t="inlineStr">
        <is>
          <t>0                      QV 0748000M  694         1987</t>
        </is>
      </c>
      <c r="D695" t="inlineStr">
        <is>
          <t>Medical dosage calculations / June Looby Olsen ... [et al.].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Yes</t>
        </is>
      </c>
      <c r="J695" t="inlineStr">
        <is>
          <t>0</t>
        </is>
      </c>
      <c r="L695" t="inlineStr">
        <is>
          <t>Menlo Park, Calif. : Addison-Wesley Pub. Co., Health Sciences Division, c1987.</t>
        </is>
      </c>
      <c r="M695" t="inlineStr">
        <is>
          <t>1987</t>
        </is>
      </c>
      <c r="N695" t="inlineStr">
        <is>
          <t>4th ed.</t>
        </is>
      </c>
      <c r="O695" t="inlineStr">
        <is>
          <t>eng</t>
        </is>
      </c>
      <c r="P695" t="inlineStr">
        <is>
          <t>xxu</t>
        </is>
      </c>
      <c r="R695" t="inlineStr">
        <is>
          <t xml:space="preserve">QV </t>
        </is>
      </c>
      <c r="S695" t="n">
        <v>10</v>
      </c>
      <c r="T695" t="n">
        <v>10</v>
      </c>
      <c r="U695" t="inlineStr">
        <is>
          <t>2001-09-07</t>
        </is>
      </c>
      <c r="V695" t="inlineStr">
        <is>
          <t>2001-09-07</t>
        </is>
      </c>
      <c r="W695" t="inlineStr">
        <is>
          <t>1987-10-21</t>
        </is>
      </c>
      <c r="X695" t="inlineStr">
        <is>
          <t>1987-10-21</t>
        </is>
      </c>
      <c r="Y695" t="n">
        <v>72</v>
      </c>
      <c r="Z695" t="n">
        <v>55</v>
      </c>
      <c r="AA695" t="n">
        <v>578</v>
      </c>
      <c r="AB695" t="n">
        <v>2</v>
      </c>
      <c r="AC695" t="n">
        <v>3</v>
      </c>
      <c r="AD695" t="n">
        <v>0</v>
      </c>
      <c r="AE695" t="n">
        <v>11</v>
      </c>
      <c r="AF695" t="n">
        <v>0</v>
      </c>
      <c r="AG695" t="n">
        <v>7</v>
      </c>
      <c r="AH695" t="n">
        <v>0</v>
      </c>
      <c r="AI695" t="n">
        <v>2</v>
      </c>
      <c r="AJ695" t="n">
        <v>0</v>
      </c>
      <c r="AK695" t="n">
        <v>3</v>
      </c>
      <c r="AL695" t="n">
        <v>0</v>
      </c>
      <c r="AM695" t="n">
        <v>1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HYPERLINK("http://catalog.hathitrust.org/Record/000839525","HathiTrust Record")</f>
        <v/>
      </c>
      <c r="AS695">
        <f>HYPERLINK("https://creighton-primo.hosted.exlibrisgroup.com/primo-explore/search?tab=default_tab&amp;search_scope=EVERYTHING&amp;vid=01CRU&amp;lang=en_US&amp;offset=0&amp;query=any,contains,991001527989702656","Catalog Record")</f>
        <v/>
      </c>
      <c r="AT695">
        <f>HYPERLINK("http://www.worldcat.org/oclc/14691947","WorldCat Record")</f>
        <v/>
      </c>
    </row>
    <row r="696">
      <c r="A696" t="inlineStr">
        <is>
          <t>No</t>
        </is>
      </c>
      <c r="B696" t="inlineStr">
        <is>
          <t>QV 748 N937 1988</t>
        </is>
      </c>
      <c r="C696" t="inlineStr">
        <is>
          <t>0                      QV 0748000N  937         1988</t>
        </is>
      </c>
      <c r="D696" t="inlineStr">
        <is>
          <t>Novel drug delivery and its therapeutic application / edited by L.F. Prescott and W.S. Nimmo.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L696" t="inlineStr">
        <is>
          <t>Chichester ; New York : Wiley, c1989.</t>
        </is>
      </c>
      <c r="M696" t="inlineStr">
        <is>
          <t>1989</t>
        </is>
      </c>
      <c r="O696" t="inlineStr">
        <is>
          <t>eng</t>
        </is>
      </c>
      <c r="P696" t="inlineStr">
        <is>
          <t>enk</t>
        </is>
      </c>
      <c r="R696" t="inlineStr">
        <is>
          <t xml:space="preserve">QV </t>
        </is>
      </c>
      <c r="S696" t="n">
        <v>16</v>
      </c>
      <c r="T696" t="n">
        <v>16</v>
      </c>
      <c r="U696" t="inlineStr">
        <is>
          <t>2000-04-14</t>
        </is>
      </c>
      <c r="V696" t="inlineStr">
        <is>
          <t>2000-04-14</t>
        </is>
      </c>
      <c r="W696" t="inlineStr">
        <is>
          <t>1990-03-23</t>
        </is>
      </c>
      <c r="X696" t="inlineStr">
        <is>
          <t>1990-03-23</t>
        </is>
      </c>
      <c r="Y696" t="n">
        <v>113</v>
      </c>
      <c r="Z696" t="n">
        <v>65</v>
      </c>
      <c r="AA696" t="n">
        <v>67</v>
      </c>
      <c r="AB696" t="n">
        <v>1</v>
      </c>
      <c r="AC696" t="n">
        <v>1</v>
      </c>
      <c r="AD696" t="n">
        <v>2</v>
      </c>
      <c r="AE696" t="n">
        <v>2</v>
      </c>
      <c r="AF696" t="n">
        <v>0</v>
      </c>
      <c r="AG696" t="n">
        <v>0</v>
      </c>
      <c r="AH696" t="n">
        <v>1</v>
      </c>
      <c r="AI696" t="n">
        <v>1</v>
      </c>
      <c r="AJ696" t="n">
        <v>1</v>
      </c>
      <c r="AK696" t="n">
        <v>1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HYPERLINK("http://catalog.hathitrust.org/Record/001836274","HathiTrust Record")</f>
        <v/>
      </c>
      <c r="AS696">
        <f>HYPERLINK("https://creighton-primo.hosted.exlibrisgroup.com/primo-explore/search?tab=default_tab&amp;search_scope=EVERYTHING&amp;vid=01CRU&amp;lang=en_US&amp;offset=0&amp;query=any,contains,991001447699702656","Catalog Record")</f>
        <v/>
      </c>
      <c r="AT696">
        <f>HYPERLINK("http://www.worldcat.org/oclc/19815352","WorldCat Record")</f>
        <v/>
      </c>
    </row>
    <row r="697">
      <c r="A697" t="inlineStr">
        <is>
          <t>No</t>
        </is>
      </c>
      <c r="B697" t="inlineStr">
        <is>
          <t>QV 748 P365h 1978</t>
        </is>
      </c>
      <c r="C697" t="inlineStr">
        <is>
          <t>0                      QV 0748000P  365h        1978</t>
        </is>
      </c>
      <c r="D697" t="inlineStr">
        <is>
          <t>How to calculate drug dosages : a ready reference and textbook / by Angela R. Pecherer and Suzanne L. Vertuno ; consulting editor, Jill Burk.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Carver, Angela R.</t>
        </is>
      </c>
      <c r="L697" t="inlineStr">
        <is>
          <t>Oradell, N.J. : Medical Economics Co., c1978.</t>
        </is>
      </c>
      <c r="M697" t="inlineStr">
        <is>
          <t>1978</t>
        </is>
      </c>
      <c r="O697" t="inlineStr">
        <is>
          <t>eng</t>
        </is>
      </c>
      <c r="P697" t="inlineStr">
        <is>
          <t>nju</t>
        </is>
      </c>
      <c r="R697" t="inlineStr">
        <is>
          <t xml:space="preserve">QV </t>
        </is>
      </c>
      <c r="S697" t="n">
        <v>9</v>
      </c>
      <c r="T697" t="n">
        <v>9</v>
      </c>
      <c r="U697" t="inlineStr">
        <is>
          <t>2002-04-06</t>
        </is>
      </c>
      <c r="V697" t="inlineStr">
        <is>
          <t>2002-04-06</t>
        </is>
      </c>
      <c r="W697" t="inlineStr">
        <is>
          <t>1987-12-11</t>
        </is>
      </c>
      <c r="X697" t="inlineStr">
        <is>
          <t>1987-12-11</t>
        </is>
      </c>
      <c r="Y697" t="n">
        <v>121</v>
      </c>
      <c r="Z697" t="n">
        <v>114</v>
      </c>
      <c r="AA697" t="n">
        <v>187</v>
      </c>
      <c r="AB697" t="n">
        <v>1</v>
      </c>
      <c r="AC697" t="n">
        <v>2</v>
      </c>
      <c r="AD697" t="n">
        <v>3</v>
      </c>
      <c r="AE697" t="n">
        <v>5</v>
      </c>
      <c r="AF697" t="n">
        <v>1</v>
      </c>
      <c r="AG697" t="n">
        <v>3</v>
      </c>
      <c r="AH697" t="n">
        <v>1</v>
      </c>
      <c r="AI697" t="n">
        <v>1</v>
      </c>
      <c r="AJ697" t="n">
        <v>1</v>
      </c>
      <c r="AK697" t="n">
        <v>3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No</t>
        </is>
      </c>
      <c r="AS697">
        <f>HYPERLINK("https://creighton-primo.hosted.exlibrisgroup.com/primo-explore/search?tab=default_tab&amp;search_scope=EVERYTHING&amp;vid=01CRU&amp;lang=en_US&amp;offset=0&amp;query=any,contains,991001282179702656","Catalog Record")</f>
        <v/>
      </c>
      <c r="AT697">
        <f>HYPERLINK("http://www.worldcat.org/oclc/5513214","WorldCat Record")</f>
        <v/>
      </c>
    </row>
    <row r="698">
      <c r="A698" t="inlineStr">
        <is>
          <t>No</t>
        </is>
      </c>
      <c r="B698" t="inlineStr">
        <is>
          <t>QV 748 P594d 1990</t>
        </is>
      </c>
      <c r="C698" t="inlineStr">
        <is>
          <t>0                      QV 0748000P  594d        1990</t>
        </is>
      </c>
      <c r="D698" t="inlineStr">
        <is>
          <t>Dosage calculations / Gloria D. Pickar.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Yes</t>
        </is>
      </c>
      <c r="J698" t="inlineStr">
        <is>
          <t>0</t>
        </is>
      </c>
      <c r="K698" t="inlineStr">
        <is>
          <t>Pickar, Gloria D., 1946-</t>
        </is>
      </c>
      <c r="L698" t="inlineStr">
        <is>
          <t>Albany, N.Y. : Delmar Publishers, c1990.</t>
        </is>
      </c>
      <c r="M698" t="inlineStr">
        <is>
          <t>1990</t>
        </is>
      </c>
      <c r="N698" t="inlineStr">
        <is>
          <t>3rd ed.</t>
        </is>
      </c>
      <c r="O698" t="inlineStr">
        <is>
          <t>eng</t>
        </is>
      </c>
      <c r="P698" t="inlineStr">
        <is>
          <t>xxu</t>
        </is>
      </c>
      <c r="R698" t="inlineStr">
        <is>
          <t xml:space="preserve">QV </t>
        </is>
      </c>
      <c r="S698" t="n">
        <v>9</v>
      </c>
      <c r="T698" t="n">
        <v>9</v>
      </c>
      <c r="U698" t="inlineStr">
        <is>
          <t>2002-04-06</t>
        </is>
      </c>
      <c r="V698" t="inlineStr">
        <is>
          <t>2002-04-06</t>
        </is>
      </c>
      <c r="W698" t="inlineStr">
        <is>
          <t>1991-01-24</t>
        </is>
      </c>
      <c r="X698" t="inlineStr">
        <is>
          <t>1991-01-24</t>
        </is>
      </c>
      <c r="Y698" t="n">
        <v>64</v>
      </c>
      <c r="Z698" t="n">
        <v>57</v>
      </c>
      <c r="AA698" t="n">
        <v>700</v>
      </c>
      <c r="AB698" t="n">
        <v>1</v>
      </c>
      <c r="AC698" t="n">
        <v>4</v>
      </c>
      <c r="AD698" t="n">
        <v>1</v>
      </c>
      <c r="AE698" t="n">
        <v>14</v>
      </c>
      <c r="AF698" t="n">
        <v>0</v>
      </c>
      <c r="AG698" t="n">
        <v>6</v>
      </c>
      <c r="AH698" t="n">
        <v>0</v>
      </c>
      <c r="AI698" t="n">
        <v>1</v>
      </c>
      <c r="AJ698" t="n">
        <v>1</v>
      </c>
      <c r="AK698" t="n">
        <v>6</v>
      </c>
      <c r="AL698" t="n">
        <v>0</v>
      </c>
      <c r="AM698" t="n">
        <v>2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HYPERLINK("https://creighton-primo.hosted.exlibrisgroup.com/primo-explore/search?tab=default_tab&amp;search_scope=EVERYTHING&amp;vid=01CRU&amp;lang=en_US&amp;offset=0&amp;query=any,contains,991000815839702656","Catalog Record")</f>
        <v/>
      </c>
      <c r="AT698">
        <f>HYPERLINK("http://www.worldcat.org/oclc/20220212","WorldCat Record")</f>
        <v/>
      </c>
    </row>
    <row r="699">
      <c r="A699" t="inlineStr">
        <is>
          <t>No</t>
        </is>
      </c>
      <c r="B699" t="inlineStr">
        <is>
          <t>QV 748 P594d 2004</t>
        </is>
      </c>
      <c r="C699" t="inlineStr">
        <is>
          <t>0                      QV 0748000P  594d        2004</t>
        </is>
      </c>
      <c r="D699" t="inlineStr">
        <is>
          <t>Dosage calculations / Gloria D. Pickar.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K699" t="inlineStr">
        <is>
          <t>Pickar, Gloria D., 1946-</t>
        </is>
      </c>
      <c r="L699" t="inlineStr">
        <is>
          <t>Australia ; Clifton Park, NY : Thomson/Delmar Learning, c2004.</t>
        </is>
      </c>
      <c r="M699" t="inlineStr">
        <is>
          <t>2004</t>
        </is>
      </c>
      <c r="N699" t="inlineStr">
        <is>
          <t>7th ed.</t>
        </is>
      </c>
      <c r="O699" t="inlineStr">
        <is>
          <t>eng</t>
        </is>
      </c>
      <c r="P699" t="inlineStr">
        <is>
          <t xml:space="preserve">at </t>
        </is>
      </c>
      <c r="R699" t="inlineStr">
        <is>
          <t xml:space="preserve">QV </t>
        </is>
      </c>
      <c r="S699" t="n">
        <v>0</v>
      </c>
      <c r="T699" t="n">
        <v>0</v>
      </c>
      <c r="U699" t="inlineStr">
        <is>
          <t>2006-09-03</t>
        </is>
      </c>
      <c r="V699" t="inlineStr">
        <is>
          <t>2006-09-03</t>
        </is>
      </c>
      <c r="W699" t="inlineStr">
        <is>
          <t>2006-08-25</t>
        </is>
      </c>
      <c r="X699" t="inlineStr">
        <is>
          <t>2006-08-25</t>
        </is>
      </c>
      <c r="Y699" t="n">
        <v>201</v>
      </c>
      <c r="Z699" t="n">
        <v>164</v>
      </c>
      <c r="AA699" t="n">
        <v>700</v>
      </c>
      <c r="AB699" t="n">
        <v>1</v>
      </c>
      <c r="AC699" t="n">
        <v>4</v>
      </c>
      <c r="AD699" t="n">
        <v>4</v>
      </c>
      <c r="AE699" t="n">
        <v>14</v>
      </c>
      <c r="AF699" t="n">
        <v>0</v>
      </c>
      <c r="AG699" t="n">
        <v>6</v>
      </c>
      <c r="AH699" t="n">
        <v>1</v>
      </c>
      <c r="AI699" t="n">
        <v>1</v>
      </c>
      <c r="AJ699" t="n">
        <v>3</v>
      </c>
      <c r="AK699" t="n">
        <v>6</v>
      </c>
      <c r="AL699" t="n">
        <v>0</v>
      </c>
      <c r="AM699" t="n">
        <v>2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HYPERLINK("https://creighton-primo.hosted.exlibrisgroup.com/primo-explore/search?tab=default_tab&amp;search_scope=EVERYTHING&amp;vid=01CRU&amp;lang=en_US&amp;offset=0&amp;query=any,contains,991001743909702656","Catalog Record")</f>
        <v/>
      </c>
      <c r="AT699">
        <f>HYPERLINK("http://www.worldcat.org/oclc/52041266","WorldCat Record")</f>
        <v/>
      </c>
    </row>
    <row r="700">
      <c r="A700" t="inlineStr">
        <is>
          <t>No</t>
        </is>
      </c>
      <c r="B700" t="inlineStr">
        <is>
          <t>QV 748 P594d 2008</t>
        </is>
      </c>
      <c r="C700" t="inlineStr">
        <is>
          <t>0                      QV 0748000P  594d        2008</t>
        </is>
      </c>
      <c r="D700" t="inlineStr">
        <is>
          <t>Dosage calculations / Gloria D. Pickar, Amy Pickar Abernethy.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K700" t="inlineStr">
        <is>
          <t>Pickar, Gloria D., 1946-</t>
        </is>
      </c>
      <c r="L700" t="inlineStr">
        <is>
          <t>Clifton Park, NY : Thomson Delmar Learning, c2008.</t>
        </is>
      </c>
      <c r="M700" t="inlineStr">
        <is>
          <t>2008</t>
        </is>
      </c>
      <c r="N700" t="inlineStr">
        <is>
          <t>8th ed.</t>
        </is>
      </c>
      <c r="O700" t="inlineStr">
        <is>
          <t>eng</t>
        </is>
      </c>
      <c r="P700" t="inlineStr">
        <is>
          <t>nyu</t>
        </is>
      </c>
      <c r="R700" t="inlineStr">
        <is>
          <t xml:space="preserve">QV </t>
        </is>
      </c>
      <c r="S700" t="n">
        <v>0</v>
      </c>
      <c r="T700" t="n">
        <v>0</v>
      </c>
      <c r="U700" t="inlineStr">
        <is>
          <t>2008-10-03</t>
        </is>
      </c>
      <c r="V700" t="inlineStr">
        <is>
          <t>2008-10-03</t>
        </is>
      </c>
      <c r="W700" t="inlineStr">
        <is>
          <t>2008-10-02</t>
        </is>
      </c>
      <c r="X700" t="inlineStr">
        <is>
          <t>2008-10-02</t>
        </is>
      </c>
      <c r="Y700" t="n">
        <v>247</v>
      </c>
      <c r="Z700" t="n">
        <v>212</v>
      </c>
      <c r="AA700" t="n">
        <v>700</v>
      </c>
      <c r="AB700" t="n">
        <v>2</v>
      </c>
      <c r="AC700" t="n">
        <v>4</v>
      </c>
      <c r="AD700" t="n">
        <v>4</v>
      </c>
      <c r="AE700" t="n">
        <v>14</v>
      </c>
      <c r="AF700" t="n">
        <v>2</v>
      </c>
      <c r="AG700" t="n">
        <v>6</v>
      </c>
      <c r="AH700" t="n">
        <v>0</v>
      </c>
      <c r="AI700" t="n">
        <v>1</v>
      </c>
      <c r="AJ700" t="n">
        <v>1</v>
      </c>
      <c r="AK700" t="n">
        <v>6</v>
      </c>
      <c r="AL700" t="n">
        <v>1</v>
      </c>
      <c r="AM700" t="n">
        <v>2</v>
      </c>
      <c r="AN700" t="n">
        <v>0</v>
      </c>
      <c r="AO700" t="n">
        <v>0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HYPERLINK("https://creighton-primo.hosted.exlibrisgroup.com/primo-explore/search?tab=default_tab&amp;search_scope=EVERYTHING&amp;vid=01CRU&amp;lang=en_US&amp;offset=0&amp;query=any,contains,991001322359702656","Catalog Record")</f>
        <v/>
      </c>
      <c r="AT700">
        <f>HYPERLINK("http://www.worldcat.org/oclc/167769589","WorldCat Record")</f>
        <v/>
      </c>
    </row>
    <row r="701">
      <c r="A701" t="inlineStr">
        <is>
          <t>No</t>
        </is>
      </c>
      <c r="B701" t="inlineStr">
        <is>
          <t>QV 748 R496m 1993</t>
        </is>
      </c>
      <c r="C701" t="inlineStr">
        <is>
          <t>0                      QV 0748000R  496m        1993</t>
        </is>
      </c>
      <c r="D701" t="inlineStr">
        <is>
          <t>Medications and mathematics for the nurse / Jane Rice, Esther G. Skelley.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Rice, Jane.</t>
        </is>
      </c>
      <c r="L701" t="inlineStr">
        <is>
          <t>Albany, N.Y. : Delmar Publishers, c1993.</t>
        </is>
      </c>
      <c r="M701" t="inlineStr">
        <is>
          <t>1993</t>
        </is>
      </c>
      <c r="N701" t="inlineStr">
        <is>
          <t>7th ed.</t>
        </is>
      </c>
      <c r="O701" t="inlineStr">
        <is>
          <t>eng</t>
        </is>
      </c>
      <c r="P701" t="inlineStr">
        <is>
          <t>nyu</t>
        </is>
      </c>
      <c r="R701" t="inlineStr">
        <is>
          <t xml:space="preserve">QV </t>
        </is>
      </c>
      <c r="S701" t="n">
        <v>4</v>
      </c>
      <c r="T701" t="n">
        <v>4</v>
      </c>
      <c r="U701" t="inlineStr">
        <is>
          <t>1993-09-03</t>
        </is>
      </c>
      <c r="V701" t="inlineStr">
        <is>
          <t>1993-09-03</t>
        </is>
      </c>
      <c r="W701" t="inlineStr">
        <is>
          <t>1993-08-31</t>
        </is>
      </c>
      <c r="X701" t="inlineStr">
        <is>
          <t>1993-08-31</t>
        </is>
      </c>
      <c r="Y701" t="n">
        <v>126</v>
      </c>
      <c r="Z701" t="n">
        <v>111</v>
      </c>
      <c r="AA701" t="n">
        <v>461</v>
      </c>
      <c r="AB701" t="n">
        <v>2</v>
      </c>
      <c r="AC701" t="n">
        <v>3</v>
      </c>
      <c r="AD701" t="n">
        <v>2</v>
      </c>
      <c r="AE701" t="n">
        <v>9</v>
      </c>
      <c r="AF701" t="n">
        <v>1</v>
      </c>
      <c r="AG701" t="n">
        <v>2</v>
      </c>
      <c r="AH701" t="n">
        <v>1</v>
      </c>
      <c r="AI701" t="n">
        <v>2</v>
      </c>
      <c r="AJ701" t="n">
        <v>1</v>
      </c>
      <c r="AK701" t="n">
        <v>5</v>
      </c>
      <c r="AL701" t="n">
        <v>0</v>
      </c>
      <c r="AM701" t="n">
        <v>1</v>
      </c>
      <c r="AN701" t="n">
        <v>0</v>
      </c>
      <c r="AO701" t="n">
        <v>0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HYPERLINK("http://catalog.hathitrust.org/Record/012280356","HathiTrust Record")</f>
        <v/>
      </c>
      <c r="AS701">
        <f>HYPERLINK("https://creighton-primo.hosted.exlibrisgroup.com/primo-explore/search?tab=default_tab&amp;search_scope=EVERYTHING&amp;vid=01CRU&amp;lang=en_US&amp;offset=0&amp;query=any,contains,991001512899702656","Catalog Record")</f>
        <v/>
      </c>
      <c r="AT701">
        <f>HYPERLINK("http://www.worldcat.org/oclc/25867222","WorldCat Record")</f>
        <v/>
      </c>
    </row>
    <row r="702">
      <c r="A702" t="inlineStr">
        <is>
          <t>No</t>
        </is>
      </c>
      <c r="B702" t="inlineStr">
        <is>
          <t>QV 748 S432a 1957</t>
        </is>
      </c>
      <c r="C702" t="inlineStr">
        <is>
          <t>0                      QV 0748000S  432a        1957</t>
        </is>
      </c>
      <c r="D702" t="inlineStr">
        <is>
          <t>Scoville's The art of compounding / by Glenn L. Jenkins [and others]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Scoville, Wilbur L. (Wilbur Lincoln), 1865-1942.</t>
        </is>
      </c>
      <c r="L702" t="inlineStr">
        <is>
          <t>New York : Blakiston Division, 1957.</t>
        </is>
      </c>
      <c r="M702" t="inlineStr">
        <is>
          <t>1957</t>
        </is>
      </c>
      <c r="N702" t="inlineStr">
        <is>
          <t>9th ed.</t>
        </is>
      </c>
      <c r="O702" t="inlineStr">
        <is>
          <t>eng</t>
        </is>
      </c>
      <c r="P702" t="inlineStr">
        <is>
          <t xml:space="preserve">xx </t>
        </is>
      </c>
      <c r="R702" t="inlineStr">
        <is>
          <t xml:space="preserve">QV </t>
        </is>
      </c>
      <c r="S702" t="n">
        <v>7</v>
      </c>
      <c r="T702" t="n">
        <v>7</v>
      </c>
      <c r="U702" t="inlineStr">
        <is>
          <t>1995-04-26</t>
        </is>
      </c>
      <c r="V702" t="inlineStr">
        <is>
          <t>1995-04-26</t>
        </is>
      </c>
      <c r="W702" t="inlineStr">
        <is>
          <t>1988-03-03</t>
        </is>
      </c>
      <c r="X702" t="inlineStr">
        <is>
          <t>1988-03-03</t>
        </is>
      </c>
      <c r="Y702" t="n">
        <v>68</v>
      </c>
      <c r="Z702" t="n">
        <v>56</v>
      </c>
      <c r="AA702" t="n">
        <v>108</v>
      </c>
      <c r="AB702" t="n">
        <v>1</v>
      </c>
      <c r="AC702" t="n">
        <v>2</v>
      </c>
      <c r="AD702" t="n">
        <v>2</v>
      </c>
      <c r="AE702" t="n">
        <v>7</v>
      </c>
      <c r="AF702" t="n">
        <v>1</v>
      </c>
      <c r="AG702" t="n">
        <v>4</v>
      </c>
      <c r="AH702" t="n">
        <v>1</v>
      </c>
      <c r="AI702" t="n">
        <v>2</v>
      </c>
      <c r="AJ702" t="n">
        <v>0</v>
      </c>
      <c r="AK702" t="n">
        <v>1</v>
      </c>
      <c r="AL702" t="n">
        <v>0</v>
      </c>
      <c r="AM702" t="n">
        <v>1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HYPERLINK("http://catalog.hathitrust.org/Record/001573653","HathiTrust Record")</f>
        <v/>
      </c>
      <c r="AS702">
        <f>HYPERLINK("https://creighton-primo.hosted.exlibrisgroup.com/primo-explore/search?tab=default_tab&amp;search_scope=EVERYTHING&amp;vid=01CRU&amp;lang=en_US&amp;offset=0&amp;query=any,contains,991000992379702656","Catalog Record")</f>
        <v/>
      </c>
      <c r="AT702">
        <f>HYPERLINK("http://www.worldcat.org/oclc/14591769","WorldCat Record")</f>
        <v/>
      </c>
    </row>
    <row r="703">
      <c r="A703" t="inlineStr">
        <is>
          <t>No</t>
        </is>
      </c>
      <c r="B703" t="inlineStr">
        <is>
          <t>QV 748 W644d 1992</t>
        </is>
      </c>
      <c r="C703" t="inlineStr">
        <is>
          <t>0                      QV 0748000W  644d        1992</t>
        </is>
      </c>
      <c r="D703" t="inlineStr">
        <is>
          <t>Dosages and calculations / by Richard Wiederhold.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Wiederhold, Richard.</t>
        </is>
      </c>
      <c r="L703" t="inlineStr">
        <is>
          <t>Orlando, FL : Prentice Hall, c1992.</t>
        </is>
      </c>
      <c r="M703" t="inlineStr">
        <is>
          <t>1992</t>
        </is>
      </c>
      <c r="O703" t="inlineStr">
        <is>
          <t>eng</t>
        </is>
      </c>
      <c r="P703" t="inlineStr">
        <is>
          <t>flu</t>
        </is>
      </c>
      <c r="R703" t="inlineStr">
        <is>
          <t xml:space="preserve">QV </t>
        </is>
      </c>
      <c r="S703" t="n">
        <v>3</v>
      </c>
      <c r="T703" t="n">
        <v>3</v>
      </c>
      <c r="U703" t="inlineStr">
        <is>
          <t>1999-06-25</t>
        </is>
      </c>
      <c r="V703" t="inlineStr">
        <is>
          <t>1999-06-25</t>
        </is>
      </c>
      <c r="W703" t="inlineStr">
        <is>
          <t>1992-02-28</t>
        </is>
      </c>
      <c r="X703" t="inlineStr">
        <is>
          <t>1992-02-28</t>
        </is>
      </c>
      <c r="Y703" t="n">
        <v>44</v>
      </c>
      <c r="Z703" t="n">
        <v>42</v>
      </c>
      <c r="AA703" t="n">
        <v>97</v>
      </c>
      <c r="AB703" t="n">
        <v>1</v>
      </c>
      <c r="AC703" t="n">
        <v>2</v>
      </c>
      <c r="AD703" t="n">
        <v>0</v>
      </c>
      <c r="AE703" t="n">
        <v>2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2</v>
      </c>
      <c r="AL703" t="n">
        <v>0</v>
      </c>
      <c r="AM703" t="n">
        <v>0</v>
      </c>
      <c r="AN703" t="n">
        <v>0</v>
      </c>
      <c r="AO703" t="n">
        <v>0</v>
      </c>
      <c r="AP703" t="inlineStr">
        <is>
          <t>No</t>
        </is>
      </c>
      <c r="AQ703" t="inlineStr">
        <is>
          <t>No</t>
        </is>
      </c>
      <c r="AS703">
        <f>HYPERLINK("https://creighton-primo.hosted.exlibrisgroup.com/primo-explore/search?tab=default_tab&amp;search_scope=EVERYTHING&amp;vid=01CRU&amp;lang=en_US&amp;offset=0&amp;query=any,contains,991001297989702656","Catalog Record")</f>
        <v/>
      </c>
      <c r="AT703">
        <f>HYPERLINK("http://www.worldcat.org/oclc/24068479","WorldCat Record")</f>
        <v/>
      </c>
    </row>
    <row r="704">
      <c r="A704" t="inlineStr">
        <is>
          <t>No</t>
        </is>
      </c>
      <c r="B704" t="inlineStr">
        <is>
          <t>QV 752 D782c 1928</t>
        </is>
      </c>
      <c r="C704" t="inlineStr">
        <is>
          <t>0                      QV 0752000D  782c        1928</t>
        </is>
      </c>
      <c r="D704" t="inlineStr">
        <is>
          <t>The chemistry of crude drugs : an elementary textbook for students of pharmacognosy / by John Edmund Driver and George Edward Trease.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Driver, John Edmund, 1900-</t>
        </is>
      </c>
      <c r="L704" t="inlineStr">
        <is>
          <t>London ; New York : Longmans, Green, c1928.</t>
        </is>
      </c>
      <c r="M704" t="inlineStr">
        <is>
          <t>1928</t>
        </is>
      </c>
      <c r="O704" t="inlineStr">
        <is>
          <t>eng</t>
        </is>
      </c>
      <c r="P704" t="inlineStr">
        <is>
          <t xml:space="preserve">xx </t>
        </is>
      </c>
      <c r="R704" t="inlineStr">
        <is>
          <t xml:space="preserve">QV </t>
        </is>
      </c>
      <c r="S704" t="n">
        <v>2</v>
      </c>
      <c r="T704" t="n">
        <v>2</v>
      </c>
      <c r="U704" t="inlineStr">
        <is>
          <t>2000-04-04</t>
        </is>
      </c>
      <c r="V704" t="inlineStr">
        <is>
          <t>2000-04-04</t>
        </is>
      </c>
      <c r="W704" t="inlineStr">
        <is>
          <t>1988-02-04</t>
        </is>
      </c>
      <c r="X704" t="inlineStr">
        <is>
          <t>1988-02-04</t>
        </is>
      </c>
      <c r="Y704" t="n">
        <v>44</v>
      </c>
      <c r="Z704" t="n">
        <v>31</v>
      </c>
      <c r="AA704" t="n">
        <v>31</v>
      </c>
      <c r="AB704" t="n">
        <v>1</v>
      </c>
      <c r="AC704" t="n">
        <v>1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0</v>
      </c>
      <c r="AM704" t="n">
        <v>0</v>
      </c>
      <c r="AN704" t="n">
        <v>0</v>
      </c>
      <c r="AO704" t="n">
        <v>0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HYPERLINK("https://creighton-primo.hosted.exlibrisgroup.com/primo-explore/search?tab=default_tab&amp;search_scope=EVERYTHING&amp;vid=01CRU&amp;lang=en_US&amp;offset=0&amp;query=any,contains,991000992249702656","Catalog Record")</f>
        <v/>
      </c>
      <c r="AT704">
        <f>HYPERLINK("http://www.worldcat.org/oclc/2406076","WorldCat Record")</f>
        <v/>
      </c>
    </row>
    <row r="705">
      <c r="A705" t="inlineStr">
        <is>
          <t>No</t>
        </is>
      </c>
      <c r="B705" t="inlineStr">
        <is>
          <t>QV 752 H918 1992</t>
        </is>
      </c>
      <c r="C705" t="inlineStr">
        <is>
          <t>0                      QV 0752000H  918         1992</t>
        </is>
      </c>
      <c r="D705" t="inlineStr">
        <is>
          <t>Human medicinal agents from plants / [editors], A. Douglas Kinghorn, Manuel F. Balandrin.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L705" t="inlineStr">
        <is>
          <t>Washington, D.C. : American Chemical Society, c1993.</t>
        </is>
      </c>
      <c r="M705" t="inlineStr">
        <is>
          <t>1993</t>
        </is>
      </c>
      <c r="O705" t="inlineStr">
        <is>
          <t>eng</t>
        </is>
      </c>
      <c r="P705" t="inlineStr">
        <is>
          <t>dcu</t>
        </is>
      </c>
      <c r="Q705" t="inlineStr">
        <is>
          <t>ACS symposium series, 0097-6156 ; 534</t>
        </is>
      </c>
      <c r="R705" t="inlineStr">
        <is>
          <t xml:space="preserve">QV </t>
        </is>
      </c>
      <c r="S705" t="n">
        <v>9</v>
      </c>
      <c r="T705" t="n">
        <v>9</v>
      </c>
      <c r="U705" t="inlineStr">
        <is>
          <t>2000-04-04</t>
        </is>
      </c>
      <c r="V705" t="inlineStr">
        <is>
          <t>2000-04-04</t>
        </is>
      </c>
      <c r="W705" t="inlineStr">
        <is>
          <t>1994-04-21</t>
        </is>
      </c>
      <c r="X705" t="inlineStr">
        <is>
          <t>1994-04-21</t>
        </is>
      </c>
      <c r="Y705" t="n">
        <v>441</v>
      </c>
      <c r="Z705" t="n">
        <v>359</v>
      </c>
      <c r="AA705" t="n">
        <v>416</v>
      </c>
      <c r="AB705" t="n">
        <v>5</v>
      </c>
      <c r="AC705" t="n">
        <v>5</v>
      </c>
      <c r="AD705" t="n">
        <v>14</v>
      </c>
      <c r="AE705" t="n">
        <v>15</v>
      </c>
      <c r="AF705" t="n">
        <v>2</v>
      </c>
      <c r="AG705" t="n">
        <v>3</v>
      </c>
      <c r="AH705" t="n">
        <v>4</v>
      </c>
      <c r="AI705" t="n">
        <v>4</v>
      </c>
      <c r="AJ705" t="n">
        <v>5</v>
      </c>
      <c r="AK705" t="n">
        <v>6</v>
      </c>
      <c r="AL705" t="n">
        <v>4</v>
      </c>
      <c r="AM705" t="n">
        <v>4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HYPERLINK("http://catalog.hathitrust.org/Record/002716584","HathiTrust Record")</f>
        <v/>
      </c>
      <c r="AS705">
        <f>HYPERLINK("https://creighton-primo.hosted.exlibrisgroup.com/primo-explore/search?tab=default_tab&amp;search_scope=EVERYTHING&amp;vid=01CRU&amp;lang=en_US&amp;offset=0&amp;query=any,contains,991001161429702656","Catalog Record")</f>
        <v/>
      </c>
      <c r="AT705">
        <f>HYPERLINK("http://www.worldcat.org/oclc/28291173","WorldCat Record")</f>
        <v/>
      </c>
    </row>
    <row r="706">
      <c r="A706" t="inlineStr">
        <is>
          <t>No</t>
        </is>
      </c>
      <c r="B706" t="inlineStr">
        <is>
          <t>QV 752 R183m 1959</t>
        </is>
      </c>
      <c r="C706" t="inlineStr">
        <is>
          <t>0                      QV 0752000R  183m        1959</t>
        </is>
      </c>
      <c r="D706" t="inlineStr">
        <is>
          <t>Modern pharmacognosy.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Ramstad, Egil.</t>
        </is>
      </c>
      <c r="L706" t="inlineStr">
        <is>
          <t>New York : Blackiston Division, McGraw-Hill, 1959.</t>
        </is>
      </c>
      <c r="M706" t="inlineStr">
        <is>
          <t>1959</t>
        </is>
      </c>
      <c r="O706" t="inlineStr">
        <is>
          <t>eng</t>
        </is>
      </c>
      <c r="P706" t="inlineStr">
        <is>
          <t>nyu</t>
        </is>
      </c>
      <c r="R706" t="inlineStr">
        <is>
          <t xml:space="preserve">QV </t>
        </is>
      </c>
      <c r="S706" t="n">
        <v>6</v>
      </c>
      <c r="T706" t="n">
        <v>6</v>
      </c>
      <c r="U706" t="inlineStr">
        <is>
          <t>1997-10-02</t>
        </is>
      </c>
      <c r="V706" t="inlineStr">
        <is>
          <t>1997-10-02</t>
        </is>
      </c>
      <c r="W706" t="inlineStr">
        <is>
          <t>1988-03-03</t>
        </is>
      </c>
      <c r="X706" t="inlineStr">
        <is>
          <t>1988-03-03</t>
        </is>
      </c>
      <c r="Y706" t="n">
        <v>81</v>
      </c>
      <c r="Z706" t="n">
        <v>48</v>
      </c>
      <c r="AA706" t="n">
        <v>55</v>
      </c>
      <c r="AB706" t="n">
        <v>1</v>
      </c>
      <c r="AC706" t="n">
        <v>1</v>
      </c>
      <c r="AD706" t="n">
        <v>1</v>
      </c>
      <c r="AE706" t="n">
        <v>1</v>
      </c>
      <c r="AF706" t="n">
        <v>1</v>
      </c>
      <c r="AG706" t="n">
        <v>1</v>
      </c>
      <c r="AH706" t="n">
        <v>0</v>
      </c>
      <c r="AI706" t="n">
        <v>0</v>
      </c>
      <c r="AJ706" t="n">
        <v>0</v>
      </c>
      <c r="AK706" t="n">
        <v>0</v>
      </c>
      <c r="AL706" t="n">
        <v>0</v>
      </c>
      <c r="AM706" t="n">
        <v>0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HYPERLINK("http://catalog.hathitrust.org/Record/001573805","HathiTrust Record")</f>
        <v/>
      </c>
      <c r="AS706">
        <f>HYPERLINK("https://creighton-primo.hosted.exlibrisgroup.com/primo-explore/search?tab=default_tab&amp;search_scope=EVERYTHING&amp;vid=01CRU&amp;lang=en_US&amp;offset=0&amp;query=any,contains,991000992169702656","Catalog Record")</f>
        <v/>
      </c>
      <c r="AT706">
        <f>HYPERLINK("http://www.worldcat.org/oclc/1824580","WorldCat Record")</f>
        <v/>
      </c>
    </row>
    <row r="707">
      <c r="A707" t="inlineStr">
        <is>
          <t>No</t>
        </is>
      </c>
      <c r="B707" t="inlineStr">
        <is>
          <t>QV 752 T984p 1981</t>
        </is>
      </c>
      <c r="C707" t="inlineStr">
        <is>
          <t>0                      QV 0752000T  984p        1981</t>
        </is>
      </c>
      <c r="D707" t="inlineStr">
        <is>
          <t>Pharmacognosy / Varro E. Tyler, Lynn R. Brady, James E. Robbers.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Yes</t>
        </is>
      </c>
      <c r="J707" t="inlineStr">
        <is>
          <t>0</t>
        </is>
      </c>
      <c r="K707" t="inlineStr">
        <is>
          <t>Tyler, Varro E.</t>
        </is>
      </c>
      <c r="L707" t="inlineStr">
        <is>
          <t>Philadelphia : Lea &amp; Febiger, c1981.</t>
        </is>
      </c>
      <c r="M707" t="inlineStr">
        <is>
          <t>1981</t>
        </is>
      </c>
      <c r="N707" t="inlineStr">
        <is>
          <t>8th ed.</t>
        </is>
      </c>
      <c r="O707" t="inlineStr">
        <is>
          <t>eng</t>
        </is>
      </c>
      <c r="P707" t="inlineStr">
        <is>
          <t>xxu</t>
        </is>
      </c>
      <c r="R707" t="inlineStr">
        <is>
          <t xml:space="preserve">QV </t>
        </is>
      </c>
      <c r="S707" t="n">
        <v>36</v>
      </c>
      <c r="T707" t="n">
        <v>36</v>
      </c>
      <c r="U707" t="inlineStr">
        <is>
          <t>2000-04-04</t>
        </is>
      </c>
      <c r="V707" t="inlineStr">
        <is>
          <t>2000-04-04</t>
        </is>
      </c>
      <c r="W707" t="inlineStr">
        <is>
          <t>1988-02-04</t>
        </is>
      </c>
      <c r="X707" t="inlineStr">
        <is>
          <t>1988-02-04</t>
        </is>
      </c>
      <c r="Y707" t="n">
        <v>170</v>
      </c>
      <c r="Z707" t="n">
        <v>117</v>
      </c>
      <c r="AA707" t="n">
        <v>391</v>
      </c>
      <c r="AB707" t="n">
        <v>1</v>
      </c>
      <c r="AC707" t="n">
        <v>3</v>
      </c>
      <c r="AD707" t="n">
        <v>5</v>
      </c>
      <c r="AE707" t="n">
        <v>12</v>
      </c>
      <c r="AF707" t="n">
        <v>2</v>
      </c>
      <c r="AG707" t="n">
        <v>5</v>
      </c>
      <c r="AH707" t="n">
        <v>1</v>
      </c>
      <c r="AI707" t="n">
        <v>3</v>
      </c>
      <c r="AJ707" t="n">
        <v>3</v>
      </c>
      <c r="AK707" t="n">
        <v>5</v>
      </c>
      <c r="AL707" t="n">
        <v>0</v>
      </c>
      <c r="AM707" t="n">
        <v>2</v>
      </c>
      <c r="AN707" t="n">
        <v>0</v>
      </c>
      <c r="AO707" t="n">
        <v>0</v>
      </c>
      <c r="AP707" t="inlineStr">
        <is>
          <t>No</t>
        </is>
      </c>
      <c r="AQ707" t="inlineStr">
        <is>
          <t>Yes</t>
        </is>
      </c>
      <c r="AR707">
        <f>HYPERLINK("http://catalog.hathitrust.org/Record/000263074","HathiTrust Record")</f>
        <v/>
      </c>
      <c r="AS707">
        <f>HYPERLINK("https://creighton-primo.hosted.exlibrisgroup.com/primo-explore/search?tab=default_tab&amp;search_scope=EVERYTHING&amp;vid=01CRU&amp;lang=en_US&amp;offset=0&amp;query=any,contains,991000992129702656","Catalog Record")</f>
        <v/>
      </c>
      <c r="AT707">
        <f>HYPERLINK("http://www.worldcat.org/oclc/7555681","WorldCat Record")</f>
        <v/>
      </c>
    </row>
    <row r="708">
      <c r="A708" t="inlineStr">
        <is>
          <t>No</t>
        </is>
      </c>
      <c r="B708" t="inlineStr">
        <is>
          <t>QV 766 E53n 1972</t>
        </is>
      </c>
      <c r="C708" t="inlineStr">
        <is>
          <t>0                      QV 0766000E  53n         1972</t>
        </is>
      </c>
      <c r="D708" t="inlineStr">
        <is>
          <t>Narcotic plants / William Emboden.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Emboden, William A.</t>
        </is>
      </c>
      <c r="L708" t="inlineStr">
        <is>
          <t>London : Studio Vista, 1972.</t>
        </is>
      </c>
      <c r="M708" t="inlineStr">
        <is>
          <t>1972</t>
        </is>
      </c>
      <c r="O708" t="inlineStr">
        <is>
          <t>eng</t>
        </is>
      </c>
      <c r="P708" t="inlineStr">
        <is>
          <t>enk</t>
        </is>
      </c>
      <c r="R708" t="inlineStr">
        <is>
          <t xml:space="preserve">QV </t>
        </is>
      </c>
      <c r="S708" t="n">
        <v>6</v>
      </c>
      <c r="T708" t="n">
        <v>6</v>
      </c>
      <c r="U708" t="inlineStr">
        <is>
          <t>2006-09-18</t>
        </is>
      </c>
      <c r="V708" t="inlineStr">
        <is>
          <t>2006-09-18</t>
        </is>
      </c>
      <c r="W708" t="inlineStr">
        <is>
          <t>1988-03-25</t>
        </is>
      </c>
      <c r="X708" t="inlineStr">
        <is>
          <t>1988-03-25</t>
        </is>
      </c>
      <c r="Y708" t="n">
        <v>83</v>
      </c>
      <c r="Z708" t="n">
        <v>16</v>
      </c>
      <c r="AA708" t="n">
        <v>611</v>
      </c>
      <c r="AB708" t="n">
        <v>1</v>
      </c>
      <c r="AC708" t="n">
        <v>9</v>
      </c>
      <c r="AD708" t="n">
        <v>0</v>
      </c>
      <c r="AE708" t="n">
        <v>9</v>
      </c>
      <c r="AF708" t="n">
        <v>0</v>
      </c>
      <c r="AG708" t="n">
        <v>1</v>
      </c>
      <c r="AH708" t="n">
        <v>0</v>
      </c>
      <c r="AI708" t="n">
        <v>1</v>
      </c>
      <c r="AJ708" t="n">
        <v>0</v>
      </c>
      <c r="AK708" t="n">
        <v>2</v>
      </c>
      <c r="AL708" t="n">
        <v>0</v>
      </c>
      <c r="AM708" t="n">
        <v>6</v>
      </c>
      <c r="AN708" t="n">
        <v>0</v>
      </c>
      <c r="AO708" t="n">
        <v>0</v>
      </c>
      <c r="AP708" t="inlineStr">
        <is>
          <t>No</t>
        </is>
      </c>
      <c r="AQ708" t="inlineStr">
        <is>
          <t>No</t>
        </is>
      </c>
      <c r="AS708">
        <f>HYPERLINK("https://creighton-primo.hosted.exlibrisgroup.com/primo-explore/search?tab=default_tab&amp;search_scope=EVERYTHING&amp;vid=01CRU&amp;lang=en_US&amp;offset=0&amp;query=any,contains,991000992009702656","Catalog Record")</f>
        <v/>
      </c>
      <c r="AT708">
        <f>HYPERLINK("http://www.worldcat.org/oclc/2090997","WorldCat Record")</f>
        <v/>
      </c>
    </row>
    <row r="709">
      <c r="A709" t="inlineStr">
        <is>
          <t>No</t>
        </is>
      </c>
      <c r="B709" t="inlineStr">
        <is>
          <t>QV 766 K92g 1964</t>
        </is>
      </c>
      <c r="C709" t="inlineStr">
        <is>
          <t>0                      QV 0766000K  92g         1964</t>
        </is>
      </c>
      <c r="D709" t="inlineStr">
        <is>
          <t>Green medicine : the search for plants that heal.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Kreig, Margaret.</t>
        </is>
      </c>
      <c r="L709" t="inlineStr">
        <is>
          <t>Chicago : Rand McNally, [1964]</t>
        </is>
      </c>
      <c r="M709" t="inlineStr">
        <is>
          <t>1964</t>
        </is>
      </c>
      <c r="O709" t="inlineStr">
        <is>
          <t>eng</t>
        </is>
      </c>
      <c r="P709" t="inlineStr">
        <is>
          <t>ilu</t>
        </is>
      </c>
      <c r="R709" t="inlineStr">
        <is>
          <t xml:space="preserve">QV </t>
        </is>
      </c>
      <c r="S709" t="n">
        <v>7</v>
      </c>
      <c r="T709" t="n">
        <v>7</v>
      </c>
      <c r="U709" t="inlineStr">
        <is>
          <t>1997-10-10</t>
        </is>
      </c>
      <c r="V709" t="inlineStr">
        <is>
          <t>1997-10-10</t>
        </is>
      </c>
      <c r="W709" t="inlineStr">
        <is>
          <t>1988-03-25</t>
        </is>
      </c>
      <c r="X709" t="inlineStr">
        <is>
          <t>1988-03-25</t>
        </is>
      </c>
      <c r="Y709" t="n">
        <v>1158</v>
      </c>
      <c r="Z709" t="n">
        <v>1077</v>
      </c>
      <c r="AA709" t="n">
        <v>1091</v>
      </c>
      <c r="AB709" t="n">
        <v>10</v>
      </c>
      <c r="AC709" t="n">
        <v>10</v>
      </c>
      <c r="AD709" t="n">
        <v>22</v>
      </c>
      <c r="AE709" t="n">
        <v>22</v>
      </c>
      <c r="AF709" t="n">
        <v>8</v>
      </c>
      <c r="AG709" t="n">
        <v>8</v>
      </c>
      <c r="AH709" t="n">
        <v>4</v>
      </c>
      <c r="AI709" t="n">
        <v>4</v>
      </c>
      <c r="AJ709" t="n">
        <v>9</v>
      </c>
      <c r="AK709" t="n">
        <v>9</v>
      </c>
      <c r="AL709" t="n">
        <v>6</v>
      </c>
      <c r="AM709" t="n">
        <v>6</v>
      </c>
      <c r="AN709" t="n">
        <v>0</v>
      </c>
      <c r="AO709" t="n">
        <v>0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HYPERLINK("http://catalog.hathitrust.org/Record/001493887","HathiTrust Record")</f>
        <v/>
      </c>
      <c r="AS709">
        <f>HYPERLINK("https://creighton-primo.hosted.exlibrisgroup.com/primo-explore/search?tab=default_tab&amp;search_scope=EVERYTHING&amp;vid=01CRU&amp;lang=en_US&amp;offset=0&amp;query=any,contains,991000992059702656","Catalog Record")</f>
        <v/>
      </c>
      <c r="AT709">
        <f>HYPERLINK("http://www.worldcat.org/oclc/552260","WorldCat Record")</f>
        <v/>
      </c>
    </row>
    <row r="710">
      <c r="A710" t="inlineStr">
        <is>
          <t>No</t>
        </is>
      </c>
      <c r="B710" t="inlineStr">
        <is>
          <t>QV 766 S588m 1965</t>
        </is>
      </c>
      <c r="C710" t="inlineStr">
        <is>
          <t>0                      QV 0766000S  588m        1965</t>
        </is>
      </c>
      <c r="D710" t="inlineStr">
        <is>
          <t>Medicinal plant alkaloids : an introduction for pharmacy students / Stephen K. Sim.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Sim, Stephen K.</t>
        </is>
      </c>
      <c r="L710" t="inlineStr">
        <is>
          <t>[Toronto] : University of Toronto Press, [1965]</t>
        </is>
      </c>
      <c r="M710" t="inlineStr">
        <is>
          <t>1965</t>
        </is>
      </c>
      <c r="N710" t="inlineStr">
        <is>
          <t>2d ed.</t>
        </is>
      </c>
      <c r="O710" t="inlineStr">
        <is>
          <t>eng</t>
        </is>
      </c>
      <c r="P710" t="inlineStr">
        <is>
          <t>onc</t>
        </is>
      </c>
      <c r="R710" t="inlineStr">
        <is>
          <t xml:space="preserve">QV </t>
        </is>
      </c>
      <c r="S710" t="n">
        <v>10</v>
      </c>
      <c r="T710" t="n">
        <v>10</v>
      </c>
      <c r="U710" t="inlineStr">
        <is>
          <t>1988-11-15</t>
        </is>
      </c>
      <c r="V710" t="inlineStr">
        <is>
          <t>1988-11-15</t>
        </is>
      </c>
      <c r="W710" t="inlineStr">
        <is>
          <t>1988-03-25</t>
        </is>
      </c>
      <c r="X710" t="inlineStr">
        <is>
          <t>1988-03-25</t>
        </is>
      </c>
      <c r="Y710" t="n">
        <v>121</v>
      </c>
      <c r="Z710" t="n">
        <v>94</v>
      </c>
      <c r="AA710" t="n">
        <v>598</v>
      </c>
      <c r="AB710" t="n">
        <v>2</v>
      </c>
      <c r="AC710" t="n">
        <v>13</v>
      </c>
      <c r="AD710" t="n">
        <v>5</v>
      </c>
      <c r="AE710" t="n">
        <v>31</v>
      </c>
      <c r="AF710" t="n">
        <v>2</v>
      </c>
      <c r="AG710" t="n">
        <v>8</v>
      </c>
      <c r="AH710" t="n">
        <v>2</v>
      </c>
      <c r="AI710" t="n">
        <v>7</v>
      </c>
      <c r="AJ710" t="n">
        <v>1</v>
      </c>
      <c r="AK710" t="n">
        <v>8</v>
      </c>
      <c r="AL710" t="n">
        <v>1</v>
      </c>
      <c r="AM710" t="n">
        <v>11</v>
      </c>
      <c r="AN710" t="n">
        <v>0</v>
      </c>
      <c r="AO710" t="n">
        <v>1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HYPERLINK("https://creighton-primo.hosted.exlibrisgroup.com/primo-explore/search?tab=default_tab&amp;search_scope=EVERYTHING&amp;vid=01CRU&amp;lang=en_US&amp;offset=0&amp;query=any,contains,991000991959702656","Catalog Record")</f>
        <v/>
      </c>
      <c r="AT710">
        <f>HYPERLINK("http://www.worldcat.org/oclc/824858","WorldCat Record")</f>
        <v/>
      </c>
    </row>
    <row r="711">
      <c r="A711" t="inlineStr">
        <is>
          <t>No</t>
        </is>
      </c>
      <c r="B711" t="inlineStr">
        <is>
          <t>QV 766 S989p 1968</t>
        </is>
      </c>
      <c r="C711" t="inlineStr">
        <is>
          <t>0                      QV 0766000S  989p        1968</t>
        </is>
      </c>
      <c r="D711" t="inlineStr">
        <is>
          <t>Plants in the development of modern medicine / Edited by Tony Swain.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Symposium "Plants in the Development of Modern Medicine" (1968 : Harvard University)</t>
        </is>
      </c>
      <c r="L711" t="inlineStr">
        <is>
          <t>Cambridge, Mass. : Harvard University Press, 1972.</t>
        </is>
      </c>
      <c r="M711" t="inlineStr">
        <is>
          <t>1972</t>
        </is>
      </c>
      <c r="O711" t="inlineStr">
        <is>
          <t>eng</t>
        </is>
      </c>
      <c r="P711" t="inlineStr">
        <is>
          <t>mau</t>
        </is>
      </c>
      <c r="R711" t="inlineStr">
        <is>
          <t xml:space="preserve">QV </t>
        </is>
      </c>
      <c r="S711" t="n">
        <v>10</v>
      </c>
      <c r="T711" t="n">
        <v>10</v>
      </c>
      <c r="U711" t="inlineStr">
        <is>
          <t>1997-10-10</t>
        </is>
      </c>
      <c r="V711" t="inlineStr">
        <is>
          <t>1997-10-10</t>
        </is>
      </c>
      <c r="W711" t="inlineStr">
        <is>
          <t>1988-03-25</t>
        </is>
      </c>
      <c r="X711" t="inlineStr">
        <is>
          <t>1988-03-25</t>
        </is>
      </c>
      <c r="Y711" t="n">
        <v>649</v>
      </c>
      <c r="Z711" t="n">
        <v>555</v>
      </c>
      <c r="AA711" t="n">
        <v>563</v>
      </c>
      <c r="AB711" t="n">
        <v>3</v>
      </c>
      <c r="AC711" t="n">
        <v>3</v>
      </c>
      <c r="AD711" t="n">
        <v>19</v>
      </c>
      <c r="AE711" t="n">
        <v>19</v>
      </c>
      <c r="AF711" t="n">
        <v>8</v>
      </c>
      <c r="AG711" t="n">
        <v>8</v>
      </c>
      <c r="AH711" t="n">
        <v>6</v>
      </c>
      <c r="AI711" t="n">
        <v>6</v>
      </c>
      <c r="AJ711" t="n">
        <v>7</v>
      </c>
      <c r="AK711" t="n">
        <v>7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HYPERLINK("https://creighton-primo.hosted.exlibrisgroup.com/primo-explore/search?tab=default_tab&amp;search_scope=EVERYTHING&amp;vid=01CRU&amp;lang=en_US&amp;offset=0&amp;query=any,contains,991000991929702656","Catalog Record")</f>
        <v/>
      </c>
      <c r="AT711">
        <f>HYPERLINK("http://www.worldcat.org/oclc/315554","WorldCat Record")</f>
        <v/>
      </c>
    </row>
    <row r="712">
      <c r="A712" t="inlineStr">
        <is>
          <t>No</t>
        </is>
      </c>
      <c r="B712" t="inlineStr">
        <is>
          <t>QV 766 T244p 1965</t>
        </is>
      </c>
      <c r="C712" t="inlineStr">
        <is>
          <t>0                      QV 0766000T  244p        1965</t>
        </is>
      </c>
      <c r="D712" t="inlineStr">
        <is>
          <t>Plant drugs that changed the world / by Norman Taylor ; with drawings by Margaret Cosgrove.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Taylor, Norman, 1883-1967.</t>
        </is>
      </c>
      <c r="L712" t="inlineStr">
        <is>
          <t>New York : Dodd, Mead, c1965.</t>
        </is>
      </c>
      <c r="M712" t="inlineStr">
        <is>
          <t>1965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QV </t>
        </is>
      </c>
      <c r="S712" t="n">
        <v>15</v>
      </c>
      <c r="T712" t="n">
        <v>15</v>
      </c>
      <c r="U712" t="inlineStr">
        <is>
          <t>2006-04-12</t>
        </is>
      </c>
      <c r="V712" t="inlineStr">
        <is>
          <t>2006-04-12</t>
        </is>
      </c>
      <c r="W712" t="inlineStr">
        <is>
          <t>1988-02-04</t>
        </is>
      </c>
      <c r="X712" t="inlineStr">
        <is>
          <t>1988-02-04</t>
        </is>
      </c>
      <c r="Y712" t="n">
        <v>523</v>
      </c>
      <c r="Z712" t="n">
        <v>482</v>
      </c>
      <c r="AA712" t="n">
        <v>511</v>
      </c>
      <c r="AB712" t="n">
        <v>4</v>
      </c>
      <c r="AC712" t="n">
        <v>4</v>
      </c>
      <c r="AD712" t="n">
        <v>12</v>
      </c>
      <c r="AE712" t="n">
        <v>12</v>
      </c>
      <c r="AF712" t="n">
        <v>4</v>
      </c>
      <c r="AG712" t="n">
        <v>4</v>
      </c>
      <c r="AH712" t="n">
        <v>3</v>
      </c>
      <c r="AI712" t="n">
        <v>3</v>
      </c>
      <c r="AJ712" t="n">
        <v>5</v>
      </c>
      <c r="AK712" t="n">
        <v>5</v>
      </c>
      <c r="AL712" t="n">
        <v>2</v>
      </c>
      <c r="AM712" t="n">
        <v>2</v>
      </c>
      <c r="AN712" t="n">
        <v>0</v>
      </c>
      <c r="AO712" t="n">
        <v>0</v>
      </c>
      <c r="AP712" t="inlineStr">
        <is>
          <t>No</t>
        </is>
      </c>
      <c r="AQ712" t="inlineStr">
        <is>
          <t>No</t>
        </is>
      </c>
      <c r="AS712">
        <f>HYPERLINK("https://creighton-primo.hosted.exlibrisgroup.com/primo-explore/search?tab=default_tab&amp;search_scope=EVERYTHING&amp;vid=01CRU&amp;lang=en_US&amp;offset=0&amp;query=any,contains,991000991909702656","Catalog Record")</f>
        <v/>
      </c>
      <c r="AT712">
        <f>HYPERLINK("http://www.worldcat.org/oclc/711515","WorldCat Record")</f>
        <v/>
      </c>
    </row>
    <row r="713">
      <c r="A713" t="inlineStr">
        <is>
          <t>No</t>
        </is>
      </c>
      <c r="B713" t="inlineStr">
        <is>
          <t>QV 770 AA1 C775u 1963</t>
        </is>
      </c>
      <c r="C713" t="inlineStr">
        <is>
          <t>0                      QV 0770000AA 1                  C  775u        1963</t>
        </is>
      </c>
      <c r="D713" t="inlineStr">
        <is>
          <t>Using plants for healing : an American herbal.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Coon, Nelson.</t>
        </is>
      </c>
      <c r="L713" t="inlineStr">
        <is>
          <t>[New York] : Hearthside Press, [1963]</t>
        </is>
      </c>
      <c r="M713" t="inlineStr">
        <is>
          <t>1963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QV </t>
        </is>
      </c>
      <c r="S713" t="n">
        <v>13</v>
      </c>
      <c r="T713" t="n">
        <v>13</v>
      </c>
      <c r="U713" t="inlineStr">
        <is>
          <t>1999-09-15</t>
        </is>
      </c>
      <c r="V713" t="inlineStr">
        <is>
          <t>1999-09-15</t>
        </is>
      </c>
      <c r="W713" t="inlineStr">
        <is>
          <t>1988-03-25</t>
        </is>
      </c>
      <c r="X713" t="inlineStr">
        <is>
          <t>1988-03-25</t>
        </is>
      </c>
      <c r="Y713" t="n">
        <v>361</v>
      </c>
      <c r="Z713" t="n">
        <v>338</v>
      </c>
      <c r="AA713" t="n">
        <v>760</v>
      </c>
      <c r="AB713" t="n">
        <v>2</v>
      </c>
      <c r="AC713" t="n">
        <v>4</v>
      </c>
      <c r="AD713" t="n">
        <v>3</v>
      </c>
      <c r="AE713" t="n">
        <v>5</v>
      </c>
      <c r="AF713" t="n">
        <v>2</v>
      </c>
      <c r="AG713" t="n">
        <v>4</v>
      </c>
      <c r="AH713" t="n">
        <v>0</v>
      </c>
      <c r="AI713" t="n">
        <v>0</v>
      </c>
      <c r="AJ713" t="n">
        <v>0</v>
      </c>
      <c r="AK713" t="n">
        <v>1</v>
      </c>
      <c r="AL713" t="n">
        <v>1</v>
      </c>
      <c r="AM713" t="n">
        <v>1</v>
      </c>
      <c r="AN713" t="n">
        <v>0</v>
      </c>
      <c r="AO713" t="n">
        <v>0</v>
      </c>
      <c r="AP713" t="inlineStr">
        <is>
          <t>No</t>
        </is>
      </c>
      <c r="AQ713" t="inlineStr">
        <is>
          <t>No</t>
        </is>
      </c>
      <c r="AS713">
        <f>HYPERLINK("https://creighton-primo.hosted.exlibrisgroup.com/primo-explore/search?tab=default_tab&amp;search_scope=EVERYTHING&amp;vid=01CRU&amp;lang=en_US&amp;offset=0&amp;query=any,contains,991000991839702656","Catalog Record")</f>
        <v/>
      </c>
      <c r="AT713">
        <f>HYPERLINK("http://www.worldcat.org/oclc/1183112","WorldCat Record")</f>
        <v/>
      </c>
    </row>
    <row r="714">
      <c r="A714" t="inlineStr">
        <is>
          <t>No</t>
        </is>
      </c>
      <c r="B714" t="inlineStr">
        <is>
          <t>QV 770 JC6 H835p 1993</t>
        </is>
      </c>
      <c r="C714" t="inlineStr">
        <is>
          <t>0                      QV 0770000JC 6                  H  835p        1993</t>
        </is>
      </c>
      <c r="D714" t="inlineStr">
        <is>
          <t>The pharmacology of Chinese herbs / Kee Chang Huang.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Huang, K. C. (Kee Chang), 1917-</t>
        </is>
      </c>
      <c r="L714" t="inlineStr">
        <is>
          <t>Boca Raton : CRC Press, c1993.</t>
        </is>
      </c>
      <c r="M714" t="inlineStr">
        <is>
          <t>1993</t>
        </is>
      </c>
      <c r="O714" t="inlineStr">
        <is>
          <t>eng</t>
        </is>
      </c>
      <c r="P714" t="inlineStr">
        <is>
          <t>xxu</t>
        </is>
      </c>
      <c r="R714" t="inlineStr">
        <is>
          <t xml:space="preserve">QV </t>
        </is>
      </c>
      <c r="S714" t="n">
        <v>48</v>
      </c>
      <c r="T714" t="n">
        <v>48</v>
      </c>
      <c r="U714" t="inlineStr">
        <is>
          <t>2004-09-01</t>
        </is>
      </c>
      <c r="V714" t="inlineStr">
        <is>
          <t>2004-09-01</t>
        </is>
      </c>
      <c r="W714" t="inlineStr">
        <is>
          <t>1993-06-25</t>
        </is>
      </c>
      <c r="X714" t="inlineStr">
        <is>
          <t>1993-06-25</t>
        </is>
      </c>
      <c r="Y714" t="n">
        <v>214</v>
      </c>
      <c r="Z714" t="n">
        <v>164</v>
      </c>
      <c r="AA714" t="n">
        <v>321</v>
      </c>
      <c r="AB714" t="n">
        <v>2</v>
      </c>
      <c r="AC714" t="n">
        <v>3</v>
      </c>
      <c r="AD714" t="n">
        <v>6</v>
      </c>
      <c r="AE714" t="n">
        <v>13</v>
      </c>
      <c r="AF714" t="n">
        <v>3</v>
      </c>
      <c r="AG714" t="n">
        <v>7</v>
      </c>
      <c r="AH714" t="n">
        <v>1</v>
      </c>
      <c r="AI714" t="n">
        <v>3</v>
      </c>
      <c r="AJ714" t="n">
        <v>3</v>
      </c>
      <c r="AK714" t="n">
        <v>4</v>
      </c>
      <c r="AL714" t="n">
        <v>1</v>
      </c>
      <c r="AM714" t="n">
        <v>2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HYPERLINK("https://creighton-primo.hosted.exlibrisgroup.com/primo-explore/search?tab=default_tab&amp;search_scope=EVERYTHING&amp;vid=01CRU&amp;lang=en_US&amp;offset=0&amp;query=any,contains,991001509659702656","Catalog Record")</f>
        <v/>
      </c>
      <c r="AT714">
        <f>HYPERLINK("http://www.worldcat.org/oclc/25509156","WorldCat Record")</f>
        <v/>
      </c>
    </row>
    <row r="715">
      <c r="A715" t="inlineStr">
        <is>
          <t>No</t>
        </is>
      </c>
      <c r="B715" t="inlineStr">
        <is>
          <t>QV 771 D7942 1987</t>
        </is>
      </c>
      <c r="C715" t="inlineStr">
        <is>
          <t>0                      QV 0771000D  7942        1987</t>
        </is>
      </c>
      <c r="D715" t="inlineStr">
        <is>
          <t>Drug discovery and development / edited by Michael Williams and Jeffrey B. Malick.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L715" t="inlineStr">
        <is>
          <t>Clifton, N.J. : Humana Press, c1987.</t>
        </is>
      </c>
      <c r="M715" t="inlineStr">
        <is>
          <t>1987</t>
        </is>
      </c>
      <c r="O715" t="inlineStr">
        <is>
          <t>eng</t>
        </is>
      </c>
      <c r="P715" t="inlineStr">
        <is>
          <t>xxu</t>
        </is>
      </c>
      <c r="Q715" t="inlineStr">
        <is>
          <t>Contemporary biomedicine</t>
        </is>
      </c>
      <c r="R715" t="inlineStr">
        <is>
          <t xml:space="preserve">QV </t>
        </is>
      </c>
      <c r="S715" t="n">
        <v>15</v>
      </c>
      <c r="T715" t="n">
        <v>15</v>
      </c>
      <c r="U715" t="inlineStr">
        <is>
          <t>1995-03-07</t>
        </is>
      </c>
      <c r="V715" t="inlineStr">
        <is>
          <t>1995-03-07</t>
        </is>
      </c>
      <c r="W715" t="inlineStr">
        <is>
          <t>1988-08-25</t>
        </is>
      </c>
      <c r="X715" t="inlineStr">
        <is>
          <t>1988-08-25</t>
        </is>
      </c>
      <c r="Y715" t="n">
        <v>136</v>
      </c>
      <c r="Z715" t="n">
        <v>93</v>
      </c>
      <c r="AA715" t="n">
        <v>125</v>
      </c>
      <c r="AB715" t="n">
        <v>1</v>
      </c>
      <c r="AC715" t="n">
        <v>1</v>
      </c>
      <c r="AD715" t="n">
        <v>1</v>
      </c>
      <c r="AE715" t="n">
        <v>2</v>
      </c>
      <c r="AF715" t="n">
        <v>0</v>
      </c>
      <c r="AG715" t="n">
        <v>1</v>
      </c>
      <c r="AH715" t="n">
        <v>1</v>
      </c>
      <c r="AI715" t="n">
        <v>1</v>
      </c>
      <c r="AJ715" t="n">
        <v>0</v>
      </c>
      <c r="AK715" t="n">
        <v>1</v>
      </c>
      <c r="AL715" t="n">
        <v>0</v>
      </c>
      <c r="AM715" t="n">
        <v>0</v>
      </c>
      <c r="AN715" t="n">
        <v>0</v>
      </c>
      <c r="AO715" t="n">
        <v>0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HYPERLINK("http://catalog.hathitrust.org/Record/000918457","HathiTrust Record")</f>
        <v/>
      </c>
      <c r="AS715">
        <f>HYPERLINK("https://creighton-primo.hosted.exlibrisgroup.com/primo-explore/search?tab=default_tab&amp;search_scope=EVERYTHING&amp;vid=01CRU&amp;lang=en_US&amp;offset=0&amp;query=any,contains,991001422969702656","Catalog Record")</f>
        <v/>
      </c>
      <c r="AT715">
        <f>HYPERLINK("http://www.worldcat.org/oclc/15860347","WorldCat Record")</f>
        <v/>
      </c>
    </row>
    <row r="716">
      <c r="A716" t="inlineStr">
        <is>
          <t>No</t>
        </is>
      </c>
      <c r="B716" t="inlineStr">
        <is>
          <t>QV 771 G6465 1998</t>
        </is>
      </c>
      <c r="C716" t="inlineStr">
        <is>
          <t>0                      QV 0771000G  6465        1998</t>
        </is>
      </c>
      <c r="D716" t="inlineStr">
        <is>
          <t>Good clinical practice : standard operating procedures for clinical researchers / edited by Josef Kolman, Paul Meng, and Graeme Scott.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L716" t="inlineStr">
        <is>
          <t>Chichester, England ; New York : J. Wiley &amp; Sons, c1998.</t>
        </is>
      </c>
      <c r="M716" t="inlineStr">
        <is>
          <t>1998</t>
        </is>
      </c>
      <c r="O716" t="inlineStr">
        <is>
          <t>eng</t>
        </is>
      </c>
      <c r="P716" t="inlineStr">
        <is>
          <t>enk</t>
        </is>
      </c>
      <c r="R716" t="inlineStr">
        <is>
          <t xml:space="preserve">QV </t>
        </is>
      </c>
      <c r="S716" t="n">
        <v>4</v>
      </c>
      <c r="T716" t="n">
        <v>4</v>
      </c>
      <c r="U716" t="inlineStr">
        <is>
          <t>2003-10-15</t>
        </is>
      </c>
      <c r="V716" t="inlineStr">
        <is>
          <t>2003-10-15</t>
        </is>
      </c>
      <c r="W716" t="inlineStr">
        <is>
          <t>1999-07-09</t>
        </is>
      </c>
      <c r="X716" t="inlineStr">
        <is>
          <t>1999-07-09</t>
        </is>
      </c>
      <c r="Y716" t="n">
        <v>121</v>
      </c>
      <c r="Z716" t="n">
        <v>65</v>
      </c>
      <c r="AA716" t="n">
        <v>187</v>
      </c>
      <c r="AB716" t="n">
        <v>1</v>
      </c>
      <c r="AC716" t="n">
        <v>1</v>
      </c>
      <c r="AD716" t="n">
        <v>1</v>
      </c>
      <c r="AE716" t="n">
        <v>4</v>
      </c>
      <c r="AF716" t="n">
        <v>0</v>
      </c>
      <c r="AG716" t="n">
        <v>2</v>
      </c>
      <c r="AH716" t="n">
        <v>0</v>
      </c>
      <c r="AI716" t="n">
        <v>1</v>
      </c>
      <c r="AJ716" t="n">
        <v>1</v>
      </c>
      <c r="AK716" t="n">
        <v>2</v>
      </c>
      <c r="AL716" t="n">
        <v>0</v>
      </c>
      <c r="AM716" t="n">
        <v>0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HYPERLINK("http://catalog.hathitrust.org/Record/003976527","HathiTrust Record")</f>
        <v/>
      </c>
      <c r="AS716">
        <f>HYPERLINK("https://creighton-primo.hosted.exlibrisgroup.com/primo-explore/search?tab=default_tab&amp;search_scope=EVERYTHING&amp;vid=01CRU&amp;lang=en_US&amp;offset=0&amp;query=any,contains,991000795429702656","Catalog Record")</f>
        <v/>
      </c>
      <c r="AT716">
        <f>HYPERLINK("http://www.worldcat.org/oclc/37696634","WorldCat Record")</f>
        <v/>
      </c>
    </row>
    <row r="717">
      <c r="A717" t="inlineStr">
        <is>
          <t>No</t>
        </is>
      </c>
      <c r="B717" t="inlineStr">
        <is>
          <t>QV771 G946 2000</t>
        </is>
      </c>
      <c r="C717" t="inlineStr">
        <is>
          <t>0                      QV 0771000G  946         2000</t>
        </is>
      </c>
      <c r="D717" t="inlineStr">
        <is>
          <t>A guide to clinical drug research / edited by Adam Cohen and John Posner.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L717" t="inlineStr">
        <is>
          <t>Dordrecht ; Boston : Kluwer Academic Publishers, 2000.</t>
        </is>
      </c>
      <c r="M717" t="inlineStr">
        <is>
          <t>2000</t>
        </is>
      </c>
      <c r="N717" t="inlineStr">
        <is>
          <t>2nd ed.</t>
        </is>
      </c>
      <c r="O717" t="inlineStr">
        <is>
          <t>eng</t>
        </is>
      </c>
      <c r="P717" t="inlineStr">
        <is>
          <t xml:space="preserve">ne </t>
        </is>
      </c>
      <c r="R717" t="inlineStr">
        <is>
          <t xml:space="preserve">QV </t>
        </is>
      </c>
      <c r="S717" t="n">
        <v>1</v>
      </c>
      <c r="T717" t="n">
        <v>1</v>
      </c>
      <c r="U717" t="inlineStr">
        <is>
          <t>2002-12-10</t>
        </is>
      </c>
      <c r="V717" t="inlineStr">
        <is>
          <t>2002-12-10</t>
        </is>
      </c>
      <c r="W717" t="inlineStr">
        <is>
          <t>2002-07-02</t>
        </is>
      </c>
      <c r="X717" t="inlineStr">
        <is>
          <t>2002-07-02</t>
        </is>
      </c>
      <c r="Y717" t="n">
        <v>114</v>
      </c>
      <c r="Z717" t="n">
        <v>83</v>
      </c>
      <c r="AA717" t="n">
        <v>139</v>
      </c>
      <c r="AB717" t="n">
        <v>1</v>
      </c>
      <c r="AC717" t="n">
        <v>1</v>
      </c>
      <c r="AD717" t="n">
        <v>2</v>
      </c>
      <c r="AE717" t="n">
        <v>5</v>
      </c>
      <c r="AF717" t="n">
        <v>1</v>
      </c>
      <c r="AG717" t="n">
        <v>3</v>
      </c>
      <c r="AH717" t="n">
        <v>1</v>
      </c>
      <c r="AI717" t="n">
        <v>2</v>
      </c>
      <c r="AJ717" t="n">
        <v>0</v>
      </c>
      <c r="AK717" t="n">
        <v>2</v>
      </c>
      <c r="AL717" t="n">
        <v>0</v>
      </c>
      <c r="AM717" t="n">
        <v>0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HYPERLINK("https://creighton-primo.hosted.exlibrisgroup.com/primo-explore/search?tab=default_tab&amp;search_scope=EVERYTHING&amp;vid=01CRU&amp;lang=en_US&amp;offset=0&amp;query=any,contains,991000321209702656","Catalog Record")</f>
        <v/>
      </c>
      <c r="AT717">
        <f>HYPERLINK("http://www.worldcat.org/oclc/43095597","WorldCat Record")</f>
        <v/>
      </c>
    </row>
    <row r="718">
      <c r="A718" t="inlineStr">
        <is>
          <t>No</t>
        </is>
      </c>
      <c r="B718" t="inlineStr">
        <is>
          <t>QV 771 H236 1995</t>
        </is>
      </c>
      <c r="C718" t="inlineStr">
        <is>
          <t>0                      QV 0771000H  236         1995</t>
        </is>
      </c>
      <c r="D718" t="inlineStr">
        <is>
          <t>Handbook of workplace drug testing / edited by Ray H. Liu, Bruce A. Goldberger.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L718" t="inlineStr">
        <is>
          <t>Washington, DC : AACC Press, c1995.</t>
        </is>
      </c>
      <c r="M718" t="inlineStr">
        <is>
          <t>1995</t>
        </is>
      </c>
      <c r="O718" t="inlineStr">
        <is>
          <t>eng</t>
        </is>
      </c>
      <c r="P718" t="inlineStr">
        <is>
          <t>dcu</t>
        </is>
      </c>
      <c r="R718" t="inlineStr">
        <is>
          <t xml:space="preserve">QV </t>
        </is>
      </c>
      <c r="S718" t="n">
        <v>5</v>
      </c>
      <c r="T718" t="n">
        <v>5</v>
      </c>
      <c r="U718" t="inlineStr">
        <is>
          <t>1998-03-22</t>
        </is>
      </c>
      <c r="V718" t="inlineStr">
        <is>
          <t>1998-03-22</t>
        </is>
      </c>
      <c r="W718" t="inlineStr">
        <is>
          <t>1996-04-03</t>
        </is>
      </c>
      <c r="X718" t="inlineStr">
        <is>
          <t>1996-04-03</t>
        </is>
      </c>
      <c r="Y718" t="n">
        <v>69</v>
      </c>
      <c r="Z718" t="n">
        <v>59</v>
      </c>
      <c r="AA718" t="n">
        <v>70</v>
      </c>
      <c r="AB718" t="n">
        <v>1</v>
      </c>
      <c r="AC718" t="n">
        <v>1</v>
      </c>
      <c r="AD718" t="n">
        <v>2</v>
      </c>
      <c r="AE718" t="n">
        <v>2</v>
      </c>
      <c r="AF718" t="n">
        <v>2</v>
      </c>
      <c r="AG718" t="n">
        <v>2</v>
      </c>
      <c r="AH718" t="n">
        <v>0</v>
      </c>
      <c r="AI718" t="n">
        <v>0</v>
      </c>
      <c r="AJ718" t="n">
        <v>1</v>
      </c>
      <c r="AK718" t="n">
        <v>1</v>
      </c>
      <c r="AL718" t="n">
        <v>0</v>
      </c>
      <c r="AM718" t="n">
        <v>0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HYPERLINK("http://catalog.hathitrust.org/Record/003039870","HathiTrust Record")</f>
        <v/>
      </c>
      <c r="AS718">
        <f>HYPERLINK("https://creighton-primo.hosted.exlibrisgroup.com/primo-explore/search?tab=default_tab&amp;search_scope=EVERYTHING&amp;vid=01CRU&amp;lang=en_US&amp;offset=0&amp;query=any,contains,991001505549702656","Catalog Record")</f>
        <v/>
      </c>
      <c r="AT718">
        <f>HYPERLINK("http://www.worldcat.org/oclc/32389235","WorldCat Record")</f>
        <v/>
      </c>
    </row>
    <row r="719">
      <c r="A719" t="inlineStr">
        <is>
          <t>No</t>
        </is>
      </c>
      <c r="B719" t="inlineStr">
        <is>
          <t>QV 771 M514c 1996</t>
        </is>
      </c>
      <c r="C719" t="inlineStr">
        <is>
          <t>0                      QV 0771000M  514c        1996</t>
        </is>
      </c>
      <c r="D719" t="inlineStr">
        <is>
          <t>Clinical trials dictionary : terminology and usage recommendations / Curtis L. Meinert.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Meinert, Curtis L.</t>
        </is>
      </c>
      <c r="L719" t="inlineStr">
        <is>
          <t>Baltimore, Md. : The Johns Hopkins University; School of Hygiene and Public Health; Center for Clinical Trials, c1996.</t>
        </is>
      </c>
      <c r="M719" t="inlineStr">
        <is>
          <t>1996</t>
        </is>
      </c>
      <c r="N719" t="inlineStr">
        <is>
          <t>Edition 1.0, 1st printing</t>
        </is>
      </c>
      <c r="O719" t="inlineStr">
        <is>
          <t>eng</t>
        </is>
      </c>
      <c r="P719" t="inlineStr">
        <is>
          <t>mdu</t>
        </is>
      </c>
      <c r="R719" t="inlineStr">
        <is>
          <t xml:space="preserve">QV </t>
        </is>
      </c>
      <c r="S719" t="n">
        <v>2</v>
      </c>
      <c r="T719" t="n">
        <v>2</v>
      </c>
      <c r="U719" t="inlineStr">
        <is>
          <t>1996-09-27</t>
        </is>
      </c>
      <c r="V719" t="inlineStr">
        <is>
          <t>1996-09-27</t>
        </is>
      </c>
      <c r="W719" t="inlineStr">
        <is>
          <t>1996-09-10</t>
        </is>
      </c>
      <c r="X719" t="inlineStr">
        <is>
          <t>1996-09-10</t>
        </is>
      </c>
      <c r="Y719" t="n">
        <v>53</v>
      </c>
      <c r="Z719" t="n">
        <v>41</v>
      </c>
      <c r="AA719" t="n">
        <v>188</v>
      </c>
      <c r="AB719" t="n">
        <v>1</v>
      </c>
      <c r="AC719" t="n">
        <v>1</v>
      </c>
      <c r="AD719" t="n">
        <v>1</v>
      </c>
      <c r="AE719" t="n">
        <v>6</v>
      </c>
      <c r="AF719" t="n">
        <v>1</v>
      </c>
      <c r="AG719" t="n">
        <v>1</v>
      </c>
      <c r="AH719" t="n">
        <v>0</v>
      </c>
      <c r="AI719" t="n">
        <v>1</v>
      </c>
      <c r="AJ719" t="n">
        <v>1</v>
      </c>
      <c r="AK719" t="n">
        <v>6</v>
      </c>
      <c r="AL719" t="n">
        <v>0</v>
      </c>
      <c r="AM719" t="n">
        <v>0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HYPERLINK("http://catalog.hathitrust.org/Record/003120405","HathiTrust Record")</f>
        <v/>
      </c>
      <c r="AS719">
        <f>HYPERLINK("https://creighton-primo.hosted.exlibrisgroup.com/primo-explore/search?tab=default_tab&amp;search_scope=EVERYTHING&amp;vid=01CRU&amp;lang=en_US&amp;offset=0&amp;query=any,contains,991000836119702656","Catalog Record")</f>
        <v/>
      </c>
      <c r="AT719">
        <f>HYPERLINK("http://www.worldcat.org/oclc/34085231","WorldCat Record")</f>
        <v/>
      </c>
    </row>
    <row r="720">
      <c r="A720" t="inlineStr">
        <is>
          <t>No</t>
        </is>
      </c>
      <c r="B720" t="inlineStr">
        <is>
          <t>QV 771 N53245 1993</t>
        </is>
      </c>
      <c r="C720" t="inlineStr">
        <is>
          <t>0                      QV 0771000N  53245       1993</t>
        </is>
      </c>
      <c r="D720" t="inlineStr">
        <is>
          <t>New technologies and concepts for reducing drug toxicities / edited by Harry Salem, Steven I. Baskin.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L720" t="inlineStr">
        <is>
          <t>Boca Raton : CRC Press, c1993.</t>
        </is>
      </c>
      <c r="M720" t="inlineStr">
        <is>
          <t>1993</t>
        </is>
      </c>
      <c r="O720" t="inlineStr">
        <is>
          <t>eng</t>
        </is>
      </c>
      <c r="P720" t="inlineStr">
        <is>
          <t>xxu</t>
        </is>
      </c>
      <c r="R720" t="inlineStr">
        <is>
          <t xml:space="preserve">QV </t>
        </is>
      </c>
      <c r="S720" t="n">
        <v>4</v>
      </c>
      <c r="T720" t="n">
        <v>4</v>
      </c>
      <c r="U720" t="inlineStr">
        <is>
          <t>1993-09-02</t>
        </is>
      </c>
      <c r="V720" t="inlineStr">
        <is>
          <t>1993-09-02</t>
        </is>
      </c>
      <c r="W720" t="inlineStr">
        <is>
          <t>1993-08-31</t>
        </is>
      </c>
      <c r="X720" t="inlineStr">
        <is>
          <t>1993-08-31</t>
        </is>
      </c>
      <c r="Y720" t="n">
        <v>72</v>
      </c>
      <c r="Z720" t="n">
        <v>60</v>
      </c>
      <c r="AA720" t="n">
        <v>60</v>
      </c>
      <c r="AB720" t="n">
        <v>1</v>
      </c>
      <c r="AC720" t="n">
        <v>1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0</v>
      </c>
      <c r="AM720" t="n">
        <v>0</v>
      </c>
      <c r="AN720" t="n">
        <v>0</v>
      </c>
      <c r="AO720" t="n">
        <v>0</v>
      </c>
      <c r="AP720" t="inlineStr">
        <is>
          <t>No</t>
        </is>
      </c>
      <c r="AQ720" t="inlineStr">
        <is>
          <t>No</t>
        </is>
      </c>
      <c r="AS720">
        <f>HYPERLINK("https://creighton-primo.hosted.exlibrisgroup.com/primo-explore/search?tab=default_tab&amp;search_scope=EVERYTHING&amp;vid=01CRU&amp;lang=en_US&amp;offset=0&amp;query=any,contains,991001511269702656","Catalog Record")</f>
        <v/>
      </c>
      <c r="AT720">
        <f>HYPERLINK("http://www.worldcat.org/oclc/26160254","WorldCat Record")</f>
        <v/>
      </c>
    </row>
    <row r="721">
      <c r="A721" t="inlineStr">
        <is>
          <t>No</t>
        </is>
      </c>
      <c r="B721" t="inlineStr">
        <is>
          <t>QV 771 S525b 2006</t>
        </is>
      </c>
      <c r="C721" t="inlineStr">
        <is>
          <t>0                      QV 0771000S  525b        2006</t>
        </is>
      </c>
      <c r="D721" t="inlineStr">
        <is>
          <t>The body hunters : testing new drugs on the world's poorest patients / Sonia Shah.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Shah, Sonia.</t>
        </is>
      </c>
      <c r="L721" t="inlineStr">
        <is>
          <t>New York : New Press : Distributed by W.W. Norton, 2006.</t>
        </is>
      </c>
      <c r="M721" t="inlineStr">
        <is>
          <t>2006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QV </t>
        </is>
      </c>
      <c r="S721" t="n">
        <v>0</v>
      </c>
      <c r="T721" t="n">
        <v>0</v>
      </c>
      <c r="U721" t="inlineStr">
        <is>
          <t>2008-09-26</t>
        </is>
      </c>
      <c r="V721" t="inlineStr">
        <is>
          <t>2008-09-26</t>
        </is>
      </c>
      <c r="W721" t="inlineStr">
        <is>
          <t>2008-09-26</t>
        </is>
      </c>
      <c r="X721" t="inlineStr">
        <is>
          <t>2008-09-26</t>
        </is>
      </c>
      <c r="Y721" t="n">
        <v>949</v>
      </c>
      <c r="Z721" t="n">
        <v>812</v>
      </c>
      <c r="AA721" t="n">
        <v>891</v>
      </c>
      <c r="AB721" t="n">
        <v>6</v>
      </c>
      <c r="AC721" t="n">
        <v>6</v>
      </c>
      <c r="AD721" t="n">
        <v>24</v>
      </c>
      <c r="AE721" t="n">
        <v>25</v>
      </c>
      <c r="AF721" t="n">
        <v>9</v>
      </c>
      <c r="AG721" t="n">
        <v>10</v>
      </c>
      <c r="AH721" t="n">
        <v>8</v>
      </c>
      <c r="AI721" t="n">
        <v>9</v>
      </c>
      <c r="AJ721" t="n">
        <v>11</v>
      </c>
      <c r="AK721" t="n">
        <v>11</v>
      </c>
      <c r="AL721" t="n">
        <v>3</v>
      </c>
      <c r="AM721" t="n">
        <v>3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HYPERLINK("https://creighton-primo.hosted.exlibrisgroup.com/primo-explore/search?tab=default_tab&amp;search_scope=EVERYTHING&amp;vid=01CRU&amp;lang=en_US&amp;offset=0&amp;query=any,contains,991001319229702656","Catalog Record")</f>
        <v/>
      </c>
      <c r="AT721">
        <f>HYPERLINK("http://www.worldcat.org/oclc/62593856","WorldCat Record")</f>
        <v/>
      </c>
    </row>
    <row r="722">
      <c r="A722" t="inlineStr">
        <is>
          <t>No</t>
        </is>
      </c>
      <c r="B722" t="inlineStr">
        <is>
          <t>QV 771 S562pa 1993</t>
        </is>
      </c>
      <c r="C722" t="inlineStr">
        <is>
          <t>0                      QV 0771000S  562pa       1993</t>
        </is>
      </c>
      <c r="D722" t="inlineStr">
        <is>
          <t>Practical handbook of sample size guidelines for clinical trials / Jonathan J. Shuster.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Shuster, Jonathan J., 1943-</t>
        </is>
      </c>
      <c r="L722" t="inlineStr">
        <is>
          <t>Boca Raton : CRC Press, c1993.</t>
        </is>
      </c>
      <c r="M722" t="inlineStr">
        <is>
          <t>1992</t>
        </is>
      </c>
      <c r="N722" t="inlineStr">
        <is>
          <t>IBM-compatible version.</t>
        </is>
      </c>
      <c r="O722" t="inlineStr">
        <is>
          <t>eng</t>
        </is>
      </c>
      <c r="P722" t="inlineStr">
        <is>
          <t>flu</t>
        </is>
      </c>
      <c r="R722" t="inlineStr">
        <is>
          <t xml:space="preserve">QV </t>
        </is>
      </c>
      <c r="S722" t="n">
        <v>10</v>
      </c>
      <c r="T722" t="n">
        <v>10</v>
      </c>
      <c r="U722" t="inlineStr">
        <is>
          <t>2001-10-17</t>
        </is>
      </c>
      <c r="V722" t="inlineStr">
        <is>
          <t>2001-10-17</t>
        </is>
      </c>
      <c r="W722" t="inlineStr">
        <is>
          <t>1993-08-31</t>
        </is>
      </c>
      <c r="X722" t="inlineStr">
        <is>
          <t>1993-08-31</t>
        </is>
      </c>
      <c r="Y722" t="n">
        <v>49</v>
      </c>
      <c r="Z722" t="n">
        <v>34</v>
      </c>
      <c r="AA722" t="n">
        <v>51</v>
      </c>
      <c r="AB722" t="n">
        <v>1</v>
      </c>
      <c r="AC722" t="n">
        <v>1</v>
      </c>
      <c r="AD722" t="n">
        <v>1</v>
      </c>
      <c r="AE722" t="n">
        <v>1</v>
      </c>
      <c r="AF722" t="n">
        <v>1</v>
      </c>
      <c r="AG722" t="n">
        <v>1</v>
      </c>
      <c r="AH722" t="n">
        <v>0</v>
      </c>
      <c r="AI722" t="n">
        <v>0</v>
      </c>
      <c r="AJ722" t="n">
        <v>0</v>
      </c>
      <c r="AK722" t="n">
        <v>0</v>
      </c>
      <c r="AL722" t="n">
        <v>0</v>
      </c>
      <c r="AM722" t="n">
        <v>0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HYPERLINK("https://creighton-primo.hosted.exlibrisgroup.com/primo-explore/search?tab=default_tab&amp;search_scope=EVERYTHING&amp;vid=01CRU&amp;lang=en_US&amp;offset=0&amp;query=any,contains,991001512289702656","Catalog Record")</f>
        <v/>
      </c>
      <c r="AT722">
        <f>HYPERLINK("http://www.worldcat.org/oclc/26550460","WorldCat Record")</f>
        <v/>
      </c>
    </row>
    <row r="723">
      <c r="A723" t="inlineStr">
        <is>
          <t>No</t>
        </is>
      </c>
      <c r="B723" t="inlineStr">
        <is>
          <t>QV 771 S756ga 1987</t>
        </is>
      </c>
      <c r="C723" t="inlineStr">
        <is>
          <t>0                      QV 0771000S  756ga       1987</t>
        </is>
      </c>
      <c r="D723" t="inlineStr">
        <is>
          <t>Guide to planning and managing multiple clinical studies / Bert Spilker.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Spilker, Bert.</t>
        </is>
      </c>
      <c r="L723" t="inlineStr">
        <is>
          <t>New York : Raven Press, c1987.</t>
        </is>
      </c>
      <c r="M723" t="inlineStr">
        <is>
          <t>1987</t>
        </is>
      </c>
      <c r="O723" t="inlineStr">
        <is>
          <t>eng</t>
        </is>
      </c>
      <c r="P723" t="inlineStr">
        <is>
          <t>xxu</t>
        </is>
      </c>
      <c r="R723" t="inlineStr">
        <is>
          <t xml:space="preserve">QV </t>
        </is>
      </c>
      <c r="S723" t="n">
        <v>5</v>
      </c>
      <c r="T723" t="n">
        <v>5</v>
      </c>
      <c r="U723" t="inlineStr">
        <is>
          <t>1999-02-10</t>
        </is>
      </c>
      <c r="V723" t="inlineStr">
        <is>
          <t>1999-02-10</t>
        </is>
      </c>
      <c r="W723" t="inlineStr">
        <is>
          <t>1988-02-04</t>
        </is>
      </c>
      <c r="X723" t="inlineStr">
        <is>
          <t>1988-02-04</t>
        </is>
      </c>
      <c r="Y723" t="n">
        <v>142</v>
      </c>
      <c r="Z723" t="n">
        <v>110</v>
      </c>
      <c r="AA723" t="n">
        <v>110</v>
      </c>
      <c r="AB723" t="n">
        <v>1</v>
      </c>
      <c r="AC723" t="n">
        <v>1</v>
      </c>
      <c r="AD723" t="n">
        <v>3</v>
      </c>
      <c r="AE723" t="n">
        <v>3</v>
      </c>
      <c r="AF723" t="n">
        <v>0</v>
      </c>
      <c r="AG723" t="n">
        <v>0</v>
      </c>
      <c r="AH723" t="n">
        <v>2</v>
      </c>
      <c r="AI723" t="n">
        <v>2</v>
      </c>
      <c r="AJ723" t="n">
        <v>1</v>
      </c>
      <c r="AK723" t="n">
        <v>1</v>
      </c>
      <c r="AL723" t="n">
        <v>0</v>
      </c>
      <c r="AM723" t="n">
        <v>0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S723">
        <f>HYPERLINK("https://creighton-primo.hosted.exlibrisgroup.com/primo-explore/search?tab=default_tab&amp;search_scope=EVERYTHING&amp;vid=01CRU&amp;lang=en_US&amp;offset=0&amp;query=any,contains,991001266899702656","Catalog Record")</f>
        <v/>
      </c>
      <c r="AT723">
        <f>HYPERLINK("http://www.worldcat.org/oclc/15018790","WorldCat Record")</f>
        <v/>
      </c>
    </row>
    <row r="724">
      <c r="A724" t="inlineStr">
        <is>
          <t>No</t>
        </is>
      </c>
      <c r="B724" t="inlineStr">
        <is>
          <t>QV 771 S797 1990</t>
        </is>
      </c>
      <c r="C724" t="inlineStr">
        <is>
          <t>0                      QV 0771000S  797         1990</t>
        </is>
      </c>
      <c r="D724" t="inlineStr">
        <is>
          <t>Statistical issues in drug research and development / edited by Karl E. Peace.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New York : M. Dekker, c1990.</t>
        </is>
      </c>
      <c r="M724" t="inlineStr">
        <is>
          <t>1990</t>
        </is>
      </c>
      <c r="O724" t="inlineStr">
        <is>
          <t>eng</t>
        </is>
      </c>
      <c r="P724" t="inlineStr">
        <is>
          <t>nyu</t>
        </is>
      </c>
      <c r="Q724" t="inlineStr">
        <is>
          <t>Statistics, textbooks and monographs ; vol. 106.</t>
        </is>
      </c>
      <c r="R724" t="inlineStr">
        <is>
          <t xml:space="preserve">QV </t>
        </is>
      </c>
      <c r="S724" t="n">
        <v>9</v>
      </c>
      <c r="T724" t="n">
        <v>9</v>
      </c>
      <c r="U724" t="inlineStr">
        <is>
          <t>2001-10-17</t>
        </is>
      </c>
      <c r="V724" t="inlineStr">
        <is>
          <t>2001-10-17</t>
        </is>
      </c>
      <c r="W724" t="inlineStr">
        <is>
          <t>1992-07-14</t>
        </is>
      </c>
      <c r="X724" t="inlineStr">
        <is>
          <t>1992-07-14</t>
        </is>
      </c>
      <c r="Y724" t="n">
        <v>172</v>
      </c>
      <c r="Z724" t="n">
        <v>119</v>
      </c>
      <c r="AA724" t="n">
        <v>159</v>
      </c>
      <c r="AB724" t="n">
        <v>1</v>
      </c>
      <c r="AC724" t="n">
        <v>1</v>
      </c>
      <c r="AD724" t="n">
        <v>5</v>
      </c>
      <c r="AE724" t="n">
        <v>5</v>
      </c>
      <c r="AF724" t="n">
        <v>4</v>
      </c>
      <c r="AG724" t="n">
        <v>4</v>
      </c>
      <c r="AH724" t="n">
        <v>2</v>
      </c>
      <c r="AI724" t="n">
        <v>2</v>
      </c>
      <c r="AJ724" t="n">
        <v>0</v>
      </c>
      <c r="AK724" t="n">
        <v>0</v>
      </c>
      <c r="AL724" t="n">
        <v>0</v>
      </c>
      <c r="AM724" t="n">
        <v>0</v>
      </c>
      <c r="AN724" t="n">
        <v>0</v>
      </c>
      <c r="AO724" t="n">
        <v>0</v>
      </c>
      <c r="AP724" t="inlineStr">
        <is>
          <t>No</t>
        </is>
      </c>
      <c r="AQ724" t="inlineStr">
        <is>
          <t>No</t>
        </is>
      </c>
      <c r="AS724">
        <f>HYPERLINK("https://creighton-primo.hosted.exlibrisgroup.com/primo-explore/search?tab=default_tab&amp;search_scope=EVERYTHING&amp;vid=01CRU&amp;lang=en_US&amp;offset=0&amp;query=any,contains,991001305099702656","Catalog Record")</f>
        <v/>
      </c>
      <c r="AT724">
        <f>HYPERLINK("http://www.worldcat.org/oclc/20491808","WorldCat Record")</f>
        <v/>
      </c>
    </row>
    <row r="725">
      <c r="A725" t="inlineStr">
        <is>
          <t>No</t>
        </is>
      </c>
      <c r="B725" t="inlineStr">
        <is>
          <t>QV 772 A287h 1992</t>
        </is>
      </c>
      <c r="C725" t="inlineStr">
        <is>
          <t>0                      QV 0772000A  287h        1992</t>
        </is>
      </c>
      <c r="D725" t="inlineStr">
        <is>
          <t>Handbook of prescribing medications for geriatric patients / Judith C. Ahronheim.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Ahronheim, Judith C.</t>
        </is>
      </c>
      <c r="L725" t="inlineStr">
        <is>
          <t>Boston : Little, Brown and Company, c1992.</t>
        </is>
      </c>
      <c r="M725" t="inlineStr">
        <is>
          <t>1992</t>
        </is>
      </c>
      <c r="N725" t="inlineStr">
        <is>
          <t>1st ed.</t>
        </is>
      </c>
      <c r="O725" t="inlineStr">
        <is>
          <t>eng</t>
        </is>
      </c>
      <c r="P725" t="inlineStr">
        <is>
          <t>mau</t>
        </is>
      </c>
      <c r="R725" t="inlineStr">
        <is>
          <t xml:space="preserve">QV </t>
        </is>
      </c>
      <c r="S725" t="n">
        <v>8</v>
      </c>
      <c r="T725" t="n">
        <v>8</v>
      </c>
      <c r="U725" t="inlineStr">
        <is>
          <t>2001-08-17</t>
        </is>
      </c>
      <c r="V725" t="inlineStr">
        <is>
          <t>2001-08-17</t>
        </is>
      </c>
      <c r="W725" t="inlineStr">
        <is>
          <t>1992-08-06</t>
        </is>
      </c>
      <c r="X725" t="inlineStr">
        <is>
          <t>1992-08-06</t>
        </is>
      </c>
      <c r="Y725" t="n">
        <v>98</v>
      </c>
      <c r="Z725" t="n">
        <v>79</v>
      </c>
      <c r="AA725" t="n">
        <v>81</v>
      </c>
      <c r="AB725" t="n">
        <v>1</v>
      </c>
      <c r="AC725" t="n">
        <v>1</v>
      </c>
      <c r="AD725" t="n">
        <v>2</v>
      </c>
      <c r="AE725" t="n">
        <v>2</v>
      </c>
      <c r="AF725" t="n">
        <v>0</v>
      </c>
      <c r="AG725" t="n">
        <v>0</v>
      </c>
      <c r="AH725" t="n">
        <v>1</v>
      </c>
      <c r="AI725" t="n">
        <v>1</v>
      </c>
      <c r="AJ725" t="n">
        <v>2</v>
      </c>
      <c r="AK725" t="n">
        <v>2</v>
      </c>
      <c r="AL725" t="n">
        <v>0</v>
      </c>
      <c r="AM725" t="n">
        <v>0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HYPERLINK("http://catalog.hathitrust.org/Record/002549936","HathiTrust Record")</f>
        <v/>
      </c>
      <c r="AS725">
        <f>HYPERLINK("https://creighton-primo.hosted.exlibrisgroup.com/primo-explore/search?tab=default_tab&amp;search_scope=EVERYTHING&amp;vid=01CRU&amp;lang=en_US&amp;offset=0&amp;query=any,contains,991001307949702656","Catalog Record")</f>
        <v/>
      </c>
      <c r="AT725">
        <f>HYPERLINK("http://www.worldcat.org/oclc/24889759","WorldCat Record")</f>
        <v/>
      </c>
    </row>
    <row r="726">
      <c r="A726" t="inlineStr">
        <is>
          <t>No</t>
        </is>
      </c>
      <c r="B726" t="inlineStr">
        <is>
          <t>QV772 A968p 2003</t>
        </is>
      </c>
      <c r="C726" t="inlineStr">
        <is>
          <t>0                      QV 0772000A  968p        2003</t>
        </is>
      </c>
      <c r="D726" t="inlineStr">
        <is>
          <t>Prehospital providers' guide to medication / Alan J. Azzara ; medical consultant, Matthew Sleeth with contributions by Sarah Mosher Skolfield.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Azzara, Alan J.</t>
        </is>
      </c>
      <c r="L726" t="inlineStr">
        <is>
          <t>St. Louis, Mo. : MosbyJems, 2003.</t>
        </is>
      </c>
      <c r="M726" t="inlineStr">
        <is>
          <t>2003</t>
        </is>
      </c>
      <c r="O726" t="inlineStr">
        <is>
          <t>eng</t>
        </is>
      </c>
      <c r="P726" t="inlineStr">
        <is>
          <t>mou</t>
        </is>
      </c>
      <c r="R726" t="inlineStr">
        <is>
          <t xml:space="preserve">QV </t>
        </is>
      </c>
      <c r="S726" t="n">
        <v>4</v>
      </c>
      <c r="T726" t="n">
        <v>4</v>
      </c>
      <c r="U726" t="inlineStr">
        <is>
          <t>2007-06-04</t>
        </is>
      </c>
      <c r="V726" t="inlineStr">
        <is>
          <t>2007-06-04</t>
        </is>
      </c>
      <c r="W726" t="inlineStr">
        <is>
          <t>2003-06-30</t>
        </is>
      </c>
      <c r="X726" t="inlineStr">
        <is>
          <t>2003-06-30</t>
        </is>
      </c>
      <c r="Y726" t="n">
        <v>50</v>
      </c>
      <c r="Z726" t="n">
        <v>40</v>
      </c>
      <c r="AA726" t="n">
        <v>75</v>
      </c>
      <c r="AB726" t="n">
        <v>1</v>
      </c>
      <c r="AC726" t="n">
        <v>1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HYPERLINK("http://catalog.hathitrust.org/Record/004325127","HathiTrust Record")</f>
        <v/>
      </c>
      <c r="AS726">
        <f>HYPERLINK("https://creighton-primo.hosted.exlibrisgroup.com/primo-explore/search?tab=default_tab&amp;search_scope=EVERYTHING&amp;vid=01CRU&amp;lang=en_US&amp;offset=0&amp;query=any,contains,991000352529702656","Catalog Record")</f>
        <v/>
      </c>
      <c r="AT726">
        <f>HYPERLINK("http://www.worldcat.org/oclc/52337451","WorldCat Record")</f>
        <v/>
      </c>
    </row>
    <row r="727">
      <c r="A727" t="inlineStr">
        <is>
          <t>No</t>
        </is>
      </c>
      <c r="B727" t="inlineStr">
        <is>
          <t>QV 772 C737 1992</t>
        </is>
      </c>
      <c r="C727" t="inlineStr">
        <is>
          <t>0                      QV 0772000C  737         1992</t>
        </is>
      </c>
      <c r="D727" t="inlineStr">
        <is>
          <t>Compendium of pharmaceuticals and specialties / editor-in-chief, Carmen M.E. Krogh.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L727" t="inlineStr">
        <is>
          <t>Ottawa, Ont., Canada : Canadian Pharmaceutical Association, 1992.</t>
        </is>
      </c>
      <c r="M727" t="inlineStr">
        <is>
          <t>1992</t>
        </is>
      </c>
      <c r="N727" t="inlineStr">
        <is>
          <t>27th ed.</t>
        </is>
      </c>
      <c r="O727" t="inlineStr">
        <is>
          <t>eng</t>
        </is>
      </c>
      <c r="P727" t="inlineStr">
        <is>
          <t>onc</t>
        </is>
      </c>
      <c r="R727" t="inlineStr">
        <is>
          <t xml:space="preserve">QV </t>
        </is>
      </c>
      <c r="S727" t="n">
        <v>7</v>
      </c>
      <c r="T727" t="n">
        <v>7</v>
      </c>
      <c r="U727" t="inlineStr">
        <is>
          <t>1992-09-16</t>
        </is>
      </c>
      <c r="V727" t="inlineStr">
        <is>
          <t>1992-09-16</t>
        </is>
      </c>
      <c r="W727" t="inlineStr">
        <is>
          <t>1992-09-09</t>
        </is>
      </c>
      <c r="X727" t="inlineStr">
        <is>
          <t>1992-09-09</t>
        </is>
      </c>
      <c r="Y727" t="n">
        <v>9</v>
      </c>
      <c r="Z727" t="n">
        <v>8</v>
      </c>
      <c r="AA727" t="n">
        <v>8</v>
      </c>
      <c r="AB727" t="n">
        <v>1</v>
      </c>
      <c r="AC727" t="n">
        <v>1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0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HYPERLINK("https://creighton-primo.hosted.exlibrisgroup.com/primo-explore/search?tab=default_tab&amp;search_scope=EVERYTHING&amp;vid=01CRU&amp;lang=en_US&amp;offset=0&amp;query=any,contains,991001341649702656","Catalog Record")</f>
        <v/>
      </c>
      <c r="AT727">
        <f>HYPERLINK("http://www.worldcat.org/oclc/26203223","WorldCat Record")</f>
        <v/>
      </c>
    </row>
    <row r="728">
      <c r="A728" t="inlineStr">
        <is>
          <t>No</t>
        </is>
      </c>
      <c r="B728" t="inlineStr">
        <is>
          <t>QV 772 C976 1984-86</t>
        </is>
      </c>
      <c r="C728" t="inlineStr">
        <is>
          <t>0                      QV 0772000C  976         1984                                        -86</t>
        </is>
      </c>
      <c r="D728" t="inlineStr">
        <is>
          <t>Current drug handbook 1984-1986 / H. Robert Patterson, Edward A. Gustafson, Eleanor Sidor Sheridan.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L728" t="inlineStr">
        <is>
          <t>Philadelphia : W.B. Saunders, c1984.</t>
        </is>
      </c>
      <c r="M728" t="inlineStr">
        <is>
          <t>1984</t>
        </is>
      </c>
      <c r="O728" t="inlineStr">
        <is>
          <t>eng</t>
        </is>
      </c>
      <c r="P728" t="inlineStr">
        <is>
          <t>pau</t>
        </is>
      </c>
      <c r="R728" t="inlineStr">
        <is>
          <t xml:space="preserve">QV </t>
        </is>
      </c>
      <c r="S728" t="n">
        <v>3</v>
      </c>
      <c r="T728" t="n">
        <v>3</v>
      </c>
      <c r="U728" t="inlineStr">
        <is>
          <t>1994-04-28</t>
        </is>
      </c>
      <c r="V728" t="inlineStr">
        <is>
          <t>1994-04-28</t>
        </is>
      </c>
      <c r="W728" t="inlineStr">
        <is>
          <t>1987-12-11</t>
        </is>
      </c>
      <c r="X728" t="inlineStr">
        <is>
          <t>1987-12-11</t>
        </is>
      </c>
      <c r="Y728" t="n">
        <v>65</v>
      </c>
      <c r="Z728" t="n">
        <v>48</v>
      </c>
      <c r="AA728" t="n">
        <v>48</v>
      </c>
      <c r="AB728" t="n">
        <v>1</v>
      </c>
      <c r="AC728" t="n">
        <v>1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0</v>
      </c>
      <c r="AM728" t="n">
        <v>0</v>
      </c>
      <c r="AN728" t="n">
        <v>0</v>
      </c>
      <c r="AO728" t="n">
        <v>0</v>
      </c>
      <c r="AP728" t="inlineStr">
        <is>
          <t>No</t>
        </is>
      </c>
      <c r="AQ728" t="inlineStr">
        <is>
          <t>No</t>
        </is>
      </c>
      <c r="AS728">
        <f>HYPERLINK("https://creighton-primo.hosted.exlibrisgroup.com/primo-explore/search?tab=default_tab&amp;search_scope=EVERYTHING&amp;vid=01CRU&amp;lang=en_US&amp;offset=0&amp;query=any,contains,991001282219702656","Catalog Record")</f>
        <v/>
      </c>
      <c r="AT728">
        <f>HYPERLINK("http://www.worldcat.org/oclc/9827818","WorldCat Record")</f>
        <v/>
      </c>
    </row>
    <row r="729">
      <c r="A729" t="inlineStr">
        <is>
          <t>No</t>
        </is>
      </c>
      <c r="B729" t="inlineStr">
        <is>
          <t>QV 772 H236 1969</t>
        </is>
      </c>
      <c r="C729" t="inlineStr">
        <is>
          <t>0                      QV 0772000H  236         1969</t>
        </is>
      </c>
      <c r="D729" t="inlineStr">
        <is>
          <t>Handbook of non-prescription drugs / George B. Griffenhagen and Linda L. Hawkins.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Yes</t>
        </is>
      </c>
      <c r="J729" t="inlineStr">
        <is>
          <t>0</t>
        </is>
      </c>
      <c r="L729" t="inlineStr">
        <is>
          <t>Washington : American Pharmaceutical Association, [c1971]</t>
        </is>
      </c>
      <c r="M729" t="inlineStr">
        <is>
          <t>1971</t>
        </is>
      </c>
      <c r="N729" t="inlineStr">
        <is>
          <t>1971 ed.</t>
        </is>
      </c>
      <c r="O729" t="inlineStr">
        <is>
          <t>eng</t>
        </is>
      </c>
      <c r="P729" t="inlineStr">
        <is>
          <t xml:space="preserve">xx </t>
        </is>
      </c>
      <c r="R729" t="inlineStr">
        <is>
          <t xml:space="preserve">QV </t>
        </is>
      </c>
      <c r="S729" t="n">
        <v>0</v>
      </c>
      <c r="T729" t="n">
        <v>0</v>
      </c>
      <c r="U729" t="inlineStr">
        <is>
          <t>2010-03-08</t>
        </is>
      </c>
      <c r="V729" t="inlineStr">
        <is>
          <t>2010-03-08</t>
        </is>
      </c>
      <c r="W729" t="inlineStr">
        <is>
          <t>1988-03-25</t>
        </is>
      </c>
      <c r="X729" t="inlineStr">
        <is>
          <t>1988-03-25</t>
        </is>
      </c>
      <c r="Y729" t="n">
        <v>51</v>
      </c>
      <c r="Z729" t="n">
        <v>46</v>
      </c>
      <c r="AA729" t="n">
        <v>393</v>
      </c>
      <c r="AB729" t="n">
        <v>1</v>
      </c>
      <c r="AC729" t="n">
        <v>1</v>
      </c>
      <c r="AD729" t="n">
        <v>1</v>
      </c>
      <c r="AE729" t="n">
        <v>6</v>
      </c>
      <c r="AF729" t="n">
        <v>0</v>
      </c>
      <c r="AG729" t="n">
        <v>2</v>
      </c>
      <c r="AH729" t="n">
        <v>1</v>
      </c>
      <c r="AI729" t="n">
        <v>2</v>
      </c>
      <c r="AJ729" t="n">
        <v>0</v>
      </c>
      <c r="AK729" t="n">
        <v>3</v>
      </c>
      <c r="AL729" t="n">
        <v>0</v>
      </c>
      <c r="AM729" t="n">
        <v>0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HYPERLINK("https://creighton-primo.hosted.exlibrisgroup.com/primo-explore/search?tab=default_tab&amp;search_scope=EVERYTHING&amp;vid=01CRU&amp;lang=en_US&amp;offset=0&amp;query=any,contains,991000992549702656","Catalog Record")</f>
        <v/>
      </c>
      <c r="AT729">
        <f>HYPERLINK("http://www.worldcat.org/oclc/424524","WorldCat Record")</f>
        <v/>
      </c>
    </row>
    <row r="730">
      <c r="A730" t="inlineStr">
        <is>
          <t>No</t>
        </is>
      </c>
      <c r="B730" t="inlineStr">
        <is>
          <t>QV 772 H236 1973</t>
        </is>
      </c>
      <c r="C730" t="inlineStr">
        <is>
          <t>0                      QV 0772000H  236         1973</t>
        </is>
      </c>
      <c r="D730" t="inlineStr">
        <is>
          <t>Handbook of non-prescription drugs / George B. Griffenhagen and Linda L. Hawkins.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Yes</t>
        </is>
      </c>
      <c r="J730" t="inlineStr">
        <is>
          <t>0</t>
        </is>
      </c>
      <c r="L730" t="inlineStr">
        <is>
          <t>Washington : American Pharmaceutical Association, [c1973]</t>
        </is>
      </c>
      <c r="M730" t="inlineStr">
        <is>
          <t>1973</t>
        </is>
      </c>
      <c r="N730" t="inlineStr">
        <is>
          <t>1973 ed.</t>
        </is>
      </c>
      <c r="O730" t="inlineStr">
        <is>
          <t>eng</t>
        </is>
      </c>
      <c r="P730" t="inlineStr">
        <is>
          <t xml:space="preserve">xx </t>
        </is>
      </c>
      <c r="R730" t="inlineStr">
        <is>
          <t xml:space="preserve">QV </t>
        </is>
      </c>
      <c r="S730" t="n">
        <v>1</v>
      </c>
      <c r="T730" t="n">
        <v>1</v>
      </c>
      <c r="U730" t="inlineStr">
        <is>
          <t>2002-04-25</t>
        </is>
      </c>
      <c r="V730" t="inlineStr">
        <is>
          <t>2002-04-25</t>
        </is>
      </c>
      <c r="W730" t="inlineStr">
        <is>
          <t>1988-03-25</t>
        </is>
      </c>
      <c r="X730" t="inlineStr">
        <is>
          <t>1988-03-25</t>
        </is>
      </c>
      <c r="Y730" t="n">
        <v>48</v>
      </c>
      <c r="Z730" t="n">
        <v>41</v>
      </c>
      <c r="AA730" t="n">
        <v>393</v>
      </c>
      <c r="AB730" t="n">
        <v>1</v>
      </c>
      <c r="AC730" t="n">
        <v>1</v>
      </c>
      <c r="AD730" t="n">
        <v>0</v>
      </c>
      <c r="AE730" t="n">
        <v>6</v>
      </c>
      <c r="AF730" t="n">
        <v>0</v>
      </c>
      <c r="AG730" t="n">
        <v>2</v>
      </c>
      <c r="AH730" t="n">
        <v>0</v>
      </c>
      <c r="AI730" t="n">
        <v>2</v>
      </c>
      <c r="AJ730" t="n">
        <v>0</v>
      </c>
      <c r="AK730" t="n">
        <v>3</v>
      </c>
      <c r="AL730" t="n">
        <v>0</v>
      </c>
      <c r="AM730" t="n">
        <v>0</v>
      </c>
      <c r="AN730" t="n">
        <v>0</v>
      </c>
      <c r="AO730" t="n">
        <v>0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HYPERLINK("https://creighton-primo.hosted.exlibrisgroup.com/primo-explore/search?tab=default_tab&amp;search_scope=EVERYTHING&amp;vid=01CRU&amp;lang=en_US&amp;offset=0&amp;query=any,contains,991000992499702656","Catalog Record")</f>
        <v/>
      </c>
      <c r="AT730">
        <f>HYPERLINK("http://www.worldcat.org/oclc/927241","WorldCat Record")</f>
        <v/>
      </c>
    </row>
    <row r="731">
      <c r="A731" t="inlineStr">
        <is>
          <t>No</t>
        </is>
      </c>
      <c r="B731" t="inlineStr">
        <is>
          <t>QV 772 L693n 1990</t>
        </is>
      </c>
      <c r="C731" t="inlineStr">
        <is>
          <t>0                      QV 0772000L  693n        1990</t>
        </is>
      </c>
      <c r="D731" t="inlineStr">
        <is>
          <t>Non-prescription drugs / Alain Li Wan Po.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Li, Alain Wan Po.</t>
        </is>
      </c>
      <c r="L731" t="inlineStr">
        <is>
          <t>Oxford ; London : Blackwell Scientific, c1990.</t>
        </is>
      </c>
      <c r="M731" t="inlineStr">
        <is>
          <t>1990</t>
        </is>
      </c>
      <c r="N731" t="inlineStr">
        <is>
          <t>2nd ed.</t>
        </is>
      </c>
      <c r="O731" t="inlineStr">
        <is>
          <t>eng</t>
        </is>
      </c>
      <c r="P731" t="inlineStr">
        <is>
          <t>enk</t>
        </is>
      </c>
      <c r="R731" t="inlineStr">
        <is>
          <t xml:space="preserve">QV </t>
        </is>
      </c>
      <c r="S731" t="n">
        <v>11</v>
      </c>
      <c r="T731" t="n">
        <v>11</v>
      </c>
      <c r="U731" t="inlineStr">
        <is>
          <t>1998-12-06</t>
        </is>
      </c>
      <c r="V731" t="inlineStr">
        <is>
          <t>1998-12-06</t>
        </is>
      </c>
      <c r="W731" t="inlineStr">
        <is>
          <t>1991-01-24</t>
        </is>
      </c>
      <c r="X731" t="inlineStr">
        <is>
          <t>1991-01-24</t>
        </is>
      </c>
      <c r="Y731" t="n">
        <v>75</v>
      </c>
      <c r="Z731" t="n">
        <v>31</v>
      </c>
      <c r="AA731" t="n">
        <v>62</v>
      </c>
      <c r="AB731" t="n">
        <v>1</v>
      </c>
      <c r="AC731" t="n">
        <v>1</v>
      </c>
      <c r="AD731" t="n">
        <v>0</v>
      </c>
      <c r="AE731" t="n">
        <v>1</v>
      </c>
      <c r="AF731" t="n">
        <v>0</v>
      </c>
      <c r="AG731" t="n">
        <v>1</v>
      </c>
      <c r="AH731" t="n">
        <v>0</v>
      </c>
      <c r="AI731" t="n">
        <v>0</v>
      </c>
      <c r="AJ731" t="n">
        <v>0</v>
      </c>
      <c r="AK731" t="n">
        <v>0</v>
      </c>
      <c r="AL731" t="n">
        <v>0</v>
      </c>
      <c r="AM731" t="n">
        <v>0</v>
      </c>
      <c r="AN731" t="n">
        <v>0</v>
      </c>
      <c r="AO731" t="n">
        <v>0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HYPERLINK("https://creighton-primo.hosted.exlibrisgroup.com/primo-explore/search?tab=default_tab&amp;search_scope=EVERYTHING&amp;vid=01CRU&amp;lang=en_US&amp;offset=0&amp;query=any,contains,991000815939702656","Catalog Record")</f>
        <v/>
      </c>
      <c r="AT731">
        <f>HYPERLINK("http://www.worldcat.org/oclc/23256714","WorldCat Record")</f>
        <v/>
      </c>
    </row>
    <row r="732">
      <c r="A732" t="inlineStr">
        <is>
          <t>No</t>
        </is>
      </c>
      <c r="B732" t="inlineStr">
        <is>
          <t>QV 772 L693o 1992</t>
        </is>
      </c>
      <c r="C732" t="inlineStr">
        <is>
          <t>0                      QV 0772000L  693o        1992</t>
        </is>
      </c>
      <c r="D732" t="inlineStr">
        <is>
          <t>OTC medications : symptoms and treatments of common illnesses / A. Li Wan Po and G. Li Wan Po.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Li, Alain Wan Po.</t>
        </is>
      </c>
      <c r="L732" t="inlineStr">
        <is>
          <t>London : Blackwell Scientific, c1992.</t>
        </is>
      </c>
      <c r="M732" t="inlineStr">
        <is>
          <t>1992</t>
        </is>
      </c>
      <c r="O732" t="inlineStr">
        <is>
          <t>eng</t>
        </is>
      </c>
      <c r="P732" t="inlineStr">
        <is>
          <t>enk</t>
        </is>
      </c>
      <c r="R732" t="inlineStr">
        <is>
          <t xml:space="preserve">QV </t>
        </is>
      </c>
      <c r="S732" t="n">
        <v>8</v>
      </c>
      <c r="T732" t="n">
        <v>8</v>
      </c>
      <c r="U732" t="inlineStr">
        <is>
          <t>2004-02-04</t>
        </is>
      </c>
      <c r="V732" t="inlineStr">
        <is>
          <t>2004-02-04</t>
        </is>
      </c>
      <c r="W732" t="inlineStr">
        <is>
          <t>1992-12-23</t>
        </is>
      </c>
      <c r="X732" t="inlineStr">
        <is>
          <t>1992-12-23</t>
        </is>
      </c>
      <c r="Y732" t="n">
        <v>42</v>
      </c>
      <c r="Z732" t="n">
        <v>13</v>
      </c>
      <c r="AA732" t="n">
        <v>21</v>
      </c>
      <c r="AB732" t="n">
        <v>1</v>
      </c>
      <c r="AC732" t="n">
        <v>1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0</v>
      </c>
      <c r="AM732" t="n">
        <v>0</v>
      </c>
      <c r="AN732" t="n">
        <v>0</v>
      </c>
      <c r="AO732" t="n">
        <v>0</v>
      </c>
      <c r="AP732" t="inlineStr">
        <is>
          <t>No</t>
        </is>
      </c>
      <c r="AQ732" t="inlineStr">
        <is>
          <t>No</t>
        </is>
      </c>
      <c r="AS732">
        <f>HYPERLINK("https://creighton-primo.hosted.exlibrisgroup.com/primo-explore/search?tab=default_tab&amp;search_scope=EVERYTHING&amp;vid=01CRU&amp;lang=en_US&amp;offset=0&amp;query=any,contains,991001352239702656","Catalog Record")</f>
        <v/>
      </c>
      <c r="AT732">
        <f>HYPERLINK("http://www.worldcat.org/oclc/27849290","WorldCat Record")</f>
        <v/>
      </c>
    </row>
    <row r="733">
      <c r="A733" t="inlineStr">
        <is>
          <t>No</t>
        </is>
      </c>
      <c r="B733" t="inlineStr">
        <is>
          <t>QV 772 P5789g 1992</t>
        </is>
      </c>
      <c r="C733" t="inlineStr">
        <is>
          <t>0                      QV 0772000P  5789g       1992</t>
        </is>
      </c>
      <c r="D733" t="inlineStr">
        <is>
          <t>Physicians' generix : the official drug reference of FDA prescribing information and therapeutic equivalents.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L733" t="inlineStr">
        <is>
          <t>[Smithtown, N.Y.] : Data Pharmaceutica Inc., c1992.</t>
        </is>
      </c>
      <c r="M733" t="inlineStr">
        <is>
          <t>1992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QV </t>
        </is>
      </c>
      <c r="S733" t="n">
        <v>4</v>
      </c>
      <c r="T733" t="n">
        <v>4</v>
      </c>
      <c r="U733" t="inlineStr">
        <is>
          <t>1992-08-28</t>
        </is>
      </c>
      <c r="V733" t="inlineStr">
        <is>
          <t>1992-08-28</t>
        </is>
      </c>
      <c r="W733" t="inlineStr">
        <is>
          <t>1992-08-04</t>
        </is>
      </c>
      <c r="X733" t="inlineStr">
        <is>
          <t>1992-08-04</t>
        </is>
      </c>
      <c r="Y733" t="n">
        <v>52</v>
      </c>
      <c r="Z733" t="n">
        <v>51</v>
      </c>
      <c r="AA733" t="n">
        <v>56</v>
      </c>
      <c r="AB733" t="n">
        <v>1</v>
      </c>
      <c r="AC733" t="n">
        <v>1</v>
      </c>
      <c r="AD733" t="n">
        <v>1</v>
      </c>
      <c r="AE733" t="n">
        <v>1</v>
      </c>
      <c r="AF733" t="n">
        <v>1</v>
      </c>
      <c r="AG733" t="n">
        <v>1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inlineStr">
        <is>
          <t>No</t>
        </is>
      </c>
      <c r="AQ733" t="inlineStr">
        <is>
          <t>No</t>
        </is>
      </c>
      <c r="AS733">
        <f>HYPERLINK("https://creighton-primo.hosted.exlibrisgroup.com/primo-explore/search?tab=default_tab&amp;search_scope=EVERYTHING&amp;vid=01CRU&amp;lang=en_US&amp;offset=0&amp;query=any,contains,991001305689702656","Catalog Record")</f>
        <v/>
      </c>
      <c r="AT733">
        <f>HYPERLINK("http://www.worldcat.org/oclc/25506595","WorldCat Record")</f>
        <v/>
      </c>
    </row>
    <row r="734">
      <c r="A734" t="inlineStr">
        <is>
          <t>No</t>
        </is>
      </c>
      <c r="B734" t="inlineStr">
        <is>
          <t>QV 772 P5789q 1994</t>
        </is>
      </c>
      <c r="C734" t="inlineStr">
        <is>
          <t>0                      QV 0772000P  5789q       1994</t>
        </is>
      </c>
      <c r="D734" t="inlineStr">
        <is>
          <t>1994 Physicians' genRx : the complete drug reference.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L734" t="inlineStr">
        <is>
          <t>Smithtown, N.Y. : Data Pharmaceutica Inc., c1994.</t>
        </is>
      </c>
      <c r="M734" t="inlineStr">
        <is>
          <t>1994</t>
        </is>
      </c>
      <c r="O734" t="inlineStr">
        <is>
          <t>eng</t>
        </is>
      </c>
      <c r="P734" t="inlineStr">
        <is>
          <t>nyu</t>
        </is>
      </c>
      <c r="R734" t="inlineStr">
        <is>
          <t xml:space="preserve">QV </t>
        </is>
      </c>
      <c r="S734" t="n">
        <v>9</v>
      </c>
      <c r="T734" t="n">
        <v>9</v>
      </c>
      <c r="U734" t="inlineStr">
        <is>
          <t>1996-03-20</t>
        </is>
      </c>
      <c r="V734" t="inlineStr">
        <is>
          <t>1996-03-20</t>
        </is>
      </c>
      <c r="W734" t="inlineStr">
        <is>
          <t>1993-11-19</t>
        </is>
      </c>
      <c r="X734" t="inlineStr">
        <is>
          <t>1993-11-19</t>
        </is>
      </c>
      <c r="Y734" t="n">
        <v>38</v>
      </c>
      <c r="Z734" t="n">
        <v>36</v>
      </c>
      <c r="AA734" t="n">
        <v>37</v>
      </c>
      <c r="AB734" t="n">
        <v>2</v>
      </c>
      <c r="AC734" t="n">
        <v>2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0</v>
      </c>
      <c r="AM734" t="n">
        <v>0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HYPERLINK("https://creighton-primo.hosted.exlibrisgroup.com/primo-explore/search?tab=default_tab&amp;search_scope=EVERYTHING&amp;vid=01CRU&amp;lang=en_US&amp;offset=0&amp;query=any,contains,991000549029702656","Catalog Record")</f>
        <v/>
      </c>
      <c r="AT734">
        <f>HYPERLINK("http://www.worldcat.org/oclc/29463652","WorldCat Record")</f>
        <v/>
      </c>
    </row>
    <row r="735">
      <c r="A735" t="inlineStr">
        <is>
          <t>No</t>
        </is>
      </c>
      <c r="B735" t="inlineStr">
        <is>
          <t>QV 772 P5789q 1996</t>
        </is>
      </c>
      <c r="C735" t="inlineStr">
        <is>
          <t>0                      QV 0772000P  5789q       1996</t>
        </is>
      </c>
      <c r="D735" t="inlineStr">
        <is>
          <t>Physicians genRx : the complete drug reference, 1996.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L735" t="inlineStr">
        <is>
          <t>St. Louis, MO : Mosby, c1996.</t>
        </is>
      </c>
      <c r="M735" t="inlineStr">
        <is>
          <t>1996</t>
        </is>
      </c>
      <c r="O735" t="inlineStr">
        <is>
          <t>eng</t>
        </is>
      </c>
      <c r="P735" t="inlineStr">
        <is>
          <t>mou</t>
        </is>
      </c>
      <c r="R735" t="inlineStr">
        <is>
          <t xml:space="preserve">QV </t>
        </is>
      </c>
      <c r="S735" t="n">
        <v>16</v>
      </c>
      <c r="T735" t="n">
        <v>16</v>
      </c>
      <c r="U735" t="inlineStr">
        <is>
          <t>2000-09-11</t>
        </is>
      </c>
      <c r="V735" t="inlineStr">
        <is>
          <t>2000-09-11</t>
        </is>
      </c>
      <c r="W735" t="inlineStr">
        <is>
          <t>1995-12-12</t>
        </is>
      </c>
      <c r="X735" t="inlineStr">
        <is>
          <t>1995-12-12</t>
        </is>
      </c>
      <c r="Y735" t="n">
        <v>46</v>
      </c>
      <c r="Z735" t="n">
        <v>40</v>
      </c>
      <c r="AA735" t="n">
        <v>40</v>
      </c>
      <c r="AB735" t="n">
        <v>1</v>
      </c>
      <c r="AC735" t="n">
        <v>1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0</v>
      </c>
      <c r="AM735" t="n">
        <v>0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HYPERLINK("https://creighton-primo.hosted.exlibrisgroup.com/primo-explore/search?tab=default_tab&amp;search_scope=EVERYTHING&amp;vid=01CRU&amp;lang=en_US&amp;offset=0&amp;query=any,contains,991000526289702656","Catalog Record")</f>
        <v/>
      </c>
      <c r="AT735">
        <f>HYPERLINK("http://www.worldcat.org/oclc/33860272","WorldCat Record")</f>
        <v/>
      </c>
    </row>
    <row r="736">
      <c r="A736" t="inlineStr">
        <is>
          <t>No</t>
        </is>
      </c>
      <c r="B736" t="inlineStr">
        <is>
          <t>QV772 P921n 2006</t>
        </is>
      </c>
      <c r="C736" t="inlineStr">
        <is>
          <t>0                      QV 0772000P  921n        2006</t>
        </is>
      </c>
      <c r="D736" t="inlineStr">
        <is>
          <t>Nonprescription product therapeutics / Walter Steven Pray.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Pray, W. Steven.</t>
        </is>
      </c>
      <c r="L736" t="inlineStr">
        <is>
          <t>Philadelphia : Lippincott Williams &amp; Wilkins, c2006.</t>
        </is>
      </c>
      <c r="M736" t="inlineStr">
        <is>
          <t>2006</t>
        </is>
      </c>
      <c r="N736" t="inlineStr">
        <is>
          <t>2nd ed.</t>
        </is>
      </c>
      <c r="O736" t="inlineStr">
        <is>
          <t>eng</t>
        </is>
      </c>
      <c r="P736" t="inlineStr">
        <is>
          <t>pau</t>
        </is>
      </c>
      <c r="R736" t="inlineStr">
        <is>
          <t xml:space="preserve">QV </t>
        </is>
      </c>
      <c r="S736" t="n">
        <v>3</v>
      </c>
      <c r="T736" t="n">
        <v>3</v>
      </c>
      <c r="U736" t="inlineStr">
        <is>
          <t>2009-03-04</t>
        </is>
      </c>
      <c r="V736" t="inlineStr">
        <is>
          <t>2009-03-04</t>
        </is>
      </c>
      <c r="W736" t="inlineStr">
        <is>
          <t>2006-03-02</t>
        </is>
      </c>
      <c r="X736" t="inlineStr">
        <is>
          <t>2006-03-02</t>
        </is>
      </c>
      <c r="Y736" t="n">
        <v>124</v>
      </c>
      <c r="Z736" t="n">
        <v>76</v>
      </c>
      <c r="AA736" t="n">
        <v>76</v>
      </c>
      <c r="AB736" t="n">
        <v>2</v>
      </c>
      <c r="AC736" t="n">
        <v>2</v>
      </c>
      <c r="AD736" t="n">
        <v>2</v>
      </c>
      <c r="AE736" t="n">
        <v>2</v>
      </c>
      <c r="AF736" t="n">
        <v>0</v>
      </c>
      <c r="AG736" t="n">
        <v>0</v>
      </c>
      <c r="AH736" t="n">
        <v>1</v>
      </c>
      <c r="AI736" t="n">
        <v>1</v>
      </c>
      <c r="AJ736" t="n">
        <v>0</v>
      </c>
      <c r="AK736" t="n">
        <v>0</v>
      </c>
      <c r="AL736" t="n">
        <v>1</v>
      </c>
      <c r="AM736" t="n">
        <v>1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HYPERLINK("https://creighton-primo.hosted.exlibrisgroup.com/primo-explore/search?tab=default_tab&amp;search_scope=EVERYTHING&amp;vid=01CRU&amp;lang=en_US&amp;offset=0&amp;query=any,contains,991000466349702656","Catalog Record")</f>
        <v/>
      </c>
      <c r="AT736">
        <f>HYPERLINK("http://www.worldcat.org/oclc/61121117","WorldCat Record")</f>
        <v/>
      </c>
    </row>
    <row r="737">
      <c r="A737" t="inlineStr">
        <is>
          <t>No</t>
        </is>
      </c>
      <c r="B737" t="inlineStr">
        <is>
          <t>QV 772 S741 1990</t>
        </is>
      </c>
      <c r="C737" t="inlineStr">
        <is>
          <t>0                      QV 0772000S  741         1990</t>
        </is>
      </c>
      <c r="D737" t="inlineStr">
        <is>
          <t>Specialized drug delivery systems : manufacturing and production technology / edited by Praveen Tyle.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L737" t="inlineStr">
        <is>
          <t>New York : M. Dekker, c1990.</t>
        </is>
      </c>
      <c r="M737" t="inlineStr">
        <is>
          <t>1990</t>
        </is>
      </c>
      <c r="O737" t="inlineStr">
        <is>
          <t>eng</t>
        </is>
      </c>
      <c r="P737" t="inlineStr">
        <is>
          <t>nyu</t>
        </is>
      </c>
      <c r="Q737" t="inlineStr">
        <is>
          <t>Drugs and the pharmaceutical sciences ; v. 41</t>
        </is>
      </c>
      <c r="R737" t="inlineStr">
        <is>
          <t xml:space="preserve">QV </t>
        </is>
      </c>
      <c r="S737" t="n">
        <v>9</v>
      </c>
      <c r="T737" t="n">
        <v>9</v>
      </c>
      <c r="U737" t="inlineStr">
        <is>
          <t>1992-12-21</t>
        </is>
      </c>
      <c r="V737" t="inlineStr">
        <is>
          <t>1992-12-21</t>
        </is>
      </c>
      <c r="W737" t="inlineStr">
        <is>
          <t>1990-01-16</t>
        </is>
      </c>
      <c r="X737" t="inlineStr">
        <is>
          <t>1990-01-16</t>
        </is>
      </c>
      <c r="Y737" t="n">
        <v>142</v>
      </c>
      <c r="Z737" t="n">
        <v>102</v>
      </c>
      <c r="AA737" t="n">
        <v>107</v>
      </c>
      <c r="AB737" t="n">
        <v>1</v>
      </c>
      <c r="AC737" t="n">
        <v>1</v>
      </c>
      <c r="AD737" t="n">
        <v>3</v>
      </c>
      <c r="AE737" t="n">
        <v>3</v>
      </c>
      <c r="AF737" t="n">
        <v>2</v>
      </c>
      <c r="AG737" t="n">
        <v>2</v>
      </c>
      <c r="AH737" t="n">
        <v>1</v>
      </c>
      <c r="AI737" t="n">
        <v>1</v>
      </c>
      <c r="AJ737" t="n">
        <v>0</v>
      </c>
      <c r="AK737" t="n">
        <v>0</v>
      </c>
      <c r="AL737" t="n">
        <v>0</v>
      </c>
      <c r="AM737" t="n">
        <v>0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HYPERLINK("https://creighton-primo.hosted.exlibrisgroup.com/primo-explore/search?tab=default_tab&amp;search_scope=EVERYTHING&amp;vid=01CRU&amp;lang=en_US&amp;offset=0&amp;query=any,contains,991001356449702656","Catalog Record")</f>
        <v/>
      </c>
      <c r="AT737">
        <f>HYPERLINK("http://www.worldcat.org/oclc/20265507","WorldCat Record")</f>
        <v/>
      </c>
    </row>
    <row r="738">
      <c r="A738" t="inlineStr">
        <is>
          <t>No</t>
        </is>
      </c>
      <c r="B738" t="inlineStr">
        <is>
          <t>QV 772 V649 1993</t>
        </is>
      </c>
      <c r="C738" t="inlineStr">
        <is>
          <t>0                      QV 0772000V  649         1993</t>
        </is>
      </c>
      <c r="D738" t="inlineStr">
        <is>
          <t>Vidal : 1993.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Paris : OVP, c1993.</t>
        </is>
      </c>
      <c r="M738" t="inlineStr">
        <is>
          <t>1993</t>
        </is>
      </c>
      <c r="N738" t="inlineStr">
        <is>
          <t>69e éd.</t>
        </is>
      </c>
      <c r="O738" t="inlineStr">
        <is>
          <t>fre</t>
        </is>
      </c>
      <c r="P738" t="inlineStr">
        <is>
          <t xml:space="preserve">fr </t>
        </is>
      </c>
      <c r="R738" t="inlineStr">
        <is>
          <t xml:space="preserve">QV </t>
        </is>
      </c>
      <c r="S738" t="n">
        <v>4</v>
      </c>
      <c r="T738" t="n">
        <v>4</v>
      </c>
      <c r="U738" t="inlineStr">
        <is>
          <t>1993-07-16</t>
        </is>
      </c>
      <c r="V738" t="inlineStr">
        <is>
          <t>1993-07-16</t>
        </is>
      </c>
      <c r="W738" t="inlineStr">
        <is>
          <t>1992-10-20</t>
        </is>
      </c>
      <c r="X738" t="inlineStr">
        <is>
          <t>1992-10-20</t>
        </is>
      </c>
      <c r="Y738" t="n">
        <v>19</v>
      </c>
      <c r="Z738" t="n">
        <v>3</v>
      </c>
      <c r="AA738" t="n">
        <v>3</v>
      </c>
      <c r="AB738" t="n">
        <v>1</v>
      </c>
      <c r="AC738" t="n">
        <v>1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0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HYPERLINK("https://creighton-primo.hosted.exlibrisgroup.com/primo-explore/search?tab=default_tab&amp;search_scope=EVERYTHING&amp;vid=01CRU&amp;lang=en_US&amp;offset=0&amp;query=any,contains,991001344019702656","Catalog Record")</f>
        <v/>
      </c>
      <c r="AT738">
        <f>HYPERLINK("http://www.worldcat.org/oclc/27861892","WorldCat Record")</f>
        <v/>
      </c>
    </row>
    <row r="739">
      <c r="A739" t="inlineStr">
        <is>
          <t>No</t>
        </is>
      </c>
      <c r="B739" t="inlineStr">
        <is>
          <t>QV778 A427a 2002</t>
        </is>
      </c>
      <c r="C739" t="inlineStr">
        <is>
          <t>0                      QV 0778000A  427a        2002</t>
        </is>
      </c>
      <c r="D739" t="inlineStr">
        <is>
          <t>The art, science, and technology of pharmaceutical compounding / Loyd V. Allen, Jr.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Yes</t>
        </is>
      </c>
      <c r="J739" t="inlineStr">
        <is>
          <t>0</t>
        </is>
      </c>
      <c r="K739" t="inlineStr">
        <is>
          <t>Allen, Loyd V., Jr.</t>
        </is>
      </c>
      <c r="L739" t="inlineStr">
        <is>
          <t>Washington, D.C. : American Pharmaceutical Association, c2002.</t>
        </is>
      </c>
      <c r="M739" t="inlineStr">
        <is>
          <t>2002</t>
        </is>
      </c>
      <c r="N739" t="inlineStr">
        <is>
          <t>2nd ed.</t>
        </is>
      </c>
      <c r="O739" t="inlineStr">
        <is>
          <t>eng</t>
        </is>
      </c>
      <c r="P739" t="inlineStr">
        <is>
          <t>dcu</t>
        </is>
      </c>
      <c r="R739" t="inlineStr">
        <is>
          <t xml:space="preserve">QV </t>
        </is>
      </c>
      <c r="S739" t="n">
        <v>5</v>
      </c>
      <c r="T739" t="n">
        <v>5</v>
      </c>
      <c r="U739" t="inlineStr">
        <is>
          <t>2004-09-28</t>
        </is>
      </c>
      <c r="V739" t="inlineStr">
        <is>
          <t>2004-09-28</t>
        </is>
      </c>
      <c r="W739" t="inlineStr">
        <is>
          <t>2003-03-26</t>
        </is>
      </c>
      <c r="X739" t="inlineStr">
        <is>
          <t>2003-03-26</t>
        </is>
      </c>
      <c r="Y739" t="n">
        <v>103</v>
      </c>
      <c r="Z739" t="n">
        <v>69</v>
      </c>
      <c r="AA739" t="n">
        <v>167</v>
      </c>
      <c r="AB739" t="n">
        <v>1</v>
      </c>
      <c r="AC739" t="n">
        <v>1</v>
      </c>
      <c r="AD739" t="n">
        <v>1</v>
      </c>
      <c r="AE739" t="n">
        <v>6</v>
      </c>
      <c r="AF739" t="n">
        <v>0</v>
      </c>
      <c r="AG739" t="n">
        <v>4</v>
      </c>
      <c r="AH739" t="n">
        <v>1</v>
      </c>
      <c r="AI739" t="n">
        <v>2</v>
      </c>
      <c r="AJ739" t="n">
        <v>0</v>
      </c>
      <c r="AK739" t="n">
        <v>2</v>
      </c>
      <c r="AL739" t="n">
        <v>0</v>
      </c>
      <c r="AM739" t="n">
        <v>0</v>
      </c>
      <c r="AN739" t="n">
        <v>0</v>
      </c>
      <c r="AO739" t="n">
        <v>0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HYPERLINK("https://creighton-primo.hosted.exlibrisgroup.com/primo-explore/search?tab=default_tab&amp;search_scope=EVERYTHING&amp;vid=01CRU&amp;lang=en_US&amp;offset=0&amp;query=any,contains,991000342839702656","Catalog Record")</f>
        <v/>
      </c>
      <c r="AT739">
        <f>HYPERLINK("http://www.worldcat.org/oclc/49057633","WorldCat Record")</f>
        <v/>
      </c>
    </row>
    <row r="740">
      <c r="A740" t="inlineStr">
        <is>
          <t>No</t>
        </is>
      </c>
      <c r="B740" t="inlineStr">
        <is>
          <t>QV778 A652 2003</t>
        </is>
      </c>
      <c r="C740" t="inlineStr">
        <is>
          <t>0                      QV 0778000A  652         2003</t>
        </is>
      </c>
      <c r="D740" t="inlineStr">
        <is>
          <t>Applied physical pharmacy / editors, Mansoor M. Amiji, Beverly J. Sandmann.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Yes</t>
        </is>
      </c>
      <c r="J740" t="inlineStr">
        <is>
          <t>1</t>
        </is>
      </c>
      <c r="L740" t="inlineStr">
        <is>
          <t>New York : McGraw-Hill, Medical Pub. Division, c2003.</t>
        </is>
      </c>
      <c r="M740" t="inlineStr">
        <is>
          <t>2003</t>
        </is>
      </c>
      <c r="O740" t="inlineStr">
        <is>
          <t>eng</t>
        </is>
      </c>
      <c r="P740" t="inlineStr">
        <is>
          <t>nyu</t>
        </is>
      </c>
      <c r="R740" t="inlineStr">
        <is>
          <t xml:space="preserve">QV </t>
        </is>
      </c>
      <c r="S740" t="n">
        <v>12</v>
      </c>
      <c r="T740" t="n">
        <v>12</v>
      </c>
      <c r="U740" t="inlineStr">
        <is>
          <t>2007-03-08</t>
        </is>
      </c>
      <c r="V740" t="inlineStr">
        <is>
          <t>2007-03-08</t>
        </is>
      </c>
      <c r="W740" t="inlineStr">
        <is>
          <t>2003-06-24</t>
        </is>
      </c>
      <c r="X740" t="inlineStr">
        <is>
          <t>2003-06-24</t>
        </is>
      </c>
      <c r="Y740" t="n">
        <v>118</v>
      </c>
      <c r="Z740" t="n">
        <v>67</v>
      </c>
      <c r="AA740" t="n">
        <v>139</v>
      </c>
      <c r="AB740" t="n">
        <v>1</v>
      </c>
      <c r="AC740" t="n">
        <v>1</v>
      </c>
      <c r="AD740" t="n">
        <v>4</v>
      </c>
      <c r="AE740" t="n">
        <v>7</v>
      </c>
      <c r="AF740" t="n">
        <v>3</v>
      </c>
      <c r="AG740" t="n">
        <v>4</v>
      </c>
      <c r="AH740" t="n">
        <v>2</v>
      </c>
      <c r="AI740" t="n">
        <v>3</v>
      </c>
      <c r="AJ740" t="n">
        <v>1</v>
      </c>
      <c r="AK740" t="n">
        <v>2</v>
      </c>
      <c r="AL740" t="n">
        <v>0</v>
      </c>
      <c r="AM740" t="n">
        <v>0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HYPERLINK("http://catalog.hathitrust.org/Record/004298884","HathiTrust Record")</f>
        <v/>
      </c>
      <c r="AS740">
        <f>HYPERLINK("https://creighton-primo.hosted.exlibrisgroup.com/primo-explore/search?tab=default_tab&amp;search_scope=EVERYTHING&amp;vid=01CRU&amp;lang=en_US&amp;offset=0&amp;query=any,contains,991000351499702656","Catalog Record")</f>
        <v/>
      </c>
      <c r="AT740">
        <f>HYPERLINK("http://www.worldcat.org/oclc/51333617","WorldCat Record")</f>
        <v/>
      </c>
    </row>
    <row r="741">
      <c r="A741" t="inlineStr">
        <is>
          <t>No</t>
        </is>
      </c>
      <c r="B741" t="inlineStr">
        <is>
          <t>QV 778 B6167 1993</t>
        </is>
      </c>
      <c r="C741" t="inlineStr">
        <is>
          <t>0                      QV 0778000B  6167        1993</t>
        </is>
      </c>
      <c r="D741" t="inlineStr">
        <is>
          <t>Biotechnology and pharmacy / editors, John M. Pezzuto, Michael E. Johnson, Henri R. Manasse.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L741" t="inlineStr">
        <is>
          <t>New York : Chapman &amp; Hall, c1993.</t>
        </is>
      </c>
      <c r="M741" t="inlineStr">
        <is>
          <t>1993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QV </t>
        </is>
      </c>
      <c r="S741" t="n">
        <v>7</v>
      </c>
      <c r="T741" t="n">
        <v>7</v>
      </c>
      <c r="U741" t="inlineStr">
        <is>
          <t>1995-06-20</t>
        </is>
      </c>
      <c r="V741" t="inlineStr">
        <is>
          <t>1995-06-20</t>
        </is>
      </c>
      <c r="W741" t="inlineStr">
        <is>
          <t>1993-06-15</t>
        </is>
      </c>
      <c r="X741" t="inlineStr">
        <is>
          <t>1993-06-15</t>
        </is>
      </c>
      <c r="Y741" t="n">
        <v>153</v>
      </c>
      <c r="Z741" t="n">
        <v>88</v>
      </c>
      <c r="AA741" t="n">
        <v>114</v>
      </c>
      <c r="AB741" t="n">
        <v>1</v>
      </c>
      <c r="AC741" t="n">
        <v>2</v>
      </c>
      <c r="AD741" t="n">
        <v>6</v>
      </c>
      <c r="AE741" t="n">
        <v>7</v>
      </c>
      <c r="AF741" t="n">
        <v>4</v>
      </c>
      <c r="AG741" t="n">
        <v>4</v>
      </c>
      <c r="AH741" t="n">
        <v>2</v>
      </c>
      <c r="AI741" t="n">
        <v>2</v>
      </c>
      <c r="AJ741" t="n">
        <v>2</v>
      </c>
      <c r="AK741" t="n">
        <v>2</v>
      </c>
      <c r="AL741" t="n">
        <v>0</v>
      </c>
      <c r="AM741" t="n">
        <v>1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HYPERLINK("http://catalog.hathitrust.org/Record/002789633","HathiTrust Record")</f>
        <v/>
      </c>
      <c r="AS741">
        <f>HYPERLINK("https://creighton-primo.hosted.exlibrisgroup.com/primo-explore/search?tab=default_tab&amp;search_scope=EVERYTHING&amp;vid=01CRU&amp;lang=en_US&amp;offset=0&amp;query=any,contains,991001481229702656","Catalog Record")</f>
        <v/>
      </c>
      <c r="AT741">
        <f>HYPERLINK("http://www.worldcat.org/oclc/26163629","WorldCat Record")</f>
        <v/>
      </c>
    </row>
    <row r="742">
      <c r="A742" t="inlineStr">
        <is>
          <t>No</t>
        </is>
      </c>
      <c r="B742" t="inlineStr">
        <is>
          <t>QV 778 H968p 1951</t>
        </is>
      </c>
      <c r="C742" t="inlineStr">
        <is>
          <t>0                      QV 0778000H  968p        1951</t>
        </is>
      </c>
      <c r="D742" t="inlineStr">
        <is>
          <t>Pharmaceutical dispensing : a textbook for students of pharmaceutical compounding and dispensing and a reference book for pharmacists.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Husa, William J. (William John), 1896-1985.</t>
        </is>
      </c>
      <c r="L742" t="inlineStr">
        <is>
          <t>Iowa City : Distributed by Husa Bros.; 1951.</t>
        </is>
      </c>
      <c r="M742" t="inlineStr">
        <is>
          <t>1951</t>
        </is>
      </c>
      <c r="N742" t="inlineStr">
        <is>
          <t>4th ed.</t>
        </is>
      </c>
      <c r="O742" t="inlineStr">
        <is>
          <t>eng</t>
        </is>
      </c>
      <c r="P742" t="inlineStr">
        <is>
          <t>iou</t>
        </is>
      </c>
      <c r="R742" t="inlineStr">
        <is>
          <t xml:space="preserve">QV </t>
        </is>
      </c>
      <c r="S742" t="n">
        <v>3</v>
      </c>
      <c r="T742" t="n">
        <v>3</v>
      </c>
      <c r="U742" t="inlineStr">
        <is>
          <t>1992-03-27</t>
        </is>
      </c>
      <c r="V742" t="inlineStr">
        <is>
          <t>1992-03-27</t>
        </is>
      </c>
      <c r="W742" t="inlineStr">
        <is>
          <t>1988-03-24</t>
        </is>
      </c>
      <c r="X742" t="inlineStr">
        <is>
          <t>1988-03-24</t>
        </is>
      </c>
      <c r="Y742" t="n">
        <v>43</v>
      </c>
      <c r="Z742" t="n">
        <v>36</v>
      </c>
      <c r="AA742" t="n">
        <v>87</v>
      </c>
      <c r="AB742" t="n">
        <v>1</v>
      </c>
      <c r="AC742" t="n">
        <v>2</v>
      </c>
      <c r="AD742" t="n">
        <v>3</v>
      </c>
      <c r="AE742" t="n">
        <v>5</v>
      </c>
      <c r="AF742" t="n">
        <v>2</v>
      </c>
      <c r="AG742" t="n">
        <v>3</v>
      </c>
      <c r="AH742" t="n">
        <v>1</v>
      </c>
      <c r="AI742" t="n">
        <v>2</v>
      </c>
      <c r="AJ742" t="n">
        <v>0</v>
      </c>
      <c r="AK742" t="n">
        <v>0</v>
      </c>
      <c r="AL742" t="n">
        <v>0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HYPERLINK("https://creighton-primo.hosted.exlibrisgroup.com/primo-explore/search?tab=default_tab&amp;search_scope=EVERYTHING&amp;vid=01CRU&amp;lang=en_US&amp;offset=0&amp;query=any,contains,991000994729702656","Catalog Record")</f>
        <v/>
      </c>
      <c r="AT742">
        <f>HYPERLINK("http://www.worldcat.org/oclc/3590270","WorldCat Record")</f>
        <v/>
      </c>
    </row>
    <row r="743">
      <c r="A743" t="inlineStr">
        <is>
          <t>No</t>
        </is>
      </c>
      <c r="B743" t="inlineStr">
        <is>
          <t>QV 778 P957 1995</t>
        </is>
      </c>
      <c r="C743" t="inlineStr">
        <is>
          <t>0                      QV 0778000P  957         1995</t>
        </is>
      </c>
      <c r="D743" t="inlineStr">
        <is>
          <t>Principles of sterile product preparation / E. Clyde Buchanan ... [et al.].</t>
        </is>
      </c>
      <c r="F743" t="inlineStr">
        <is>
          <t>No</t>
        </is>
      </c>
      <c r="G743" t="inlineStr">
        <is>
          <t>2</t>
        </is>
      </c>
      <c r="H743" t="inlineStr">
        <is>
          <t>No</t>
        </is>
      </c>
      <c r="I743" t="inlineStr">
        <is>
          <t>Yes</t>
        </is>
      </c>
      <c r="J743" t="inlineStr">
        <is>
          <t>0</t>
        </is>
      </c>
      <c r="L743" t="inlineStr">
        <is>
          <t>Bethesda, MD : American Society of Health-System Pharamacists, c1995.</t>
        </is>
      </c>
      <c r="M743" t="inlineStr">
        <is>
          <t>1995</t>
        </is>
      </c>
      <c r="O743" t="inlineStr">
        <is>
          <t>eng</t>
        </is>
      </c>
      <c r="P743" t="inlineStr">
        <is>
          <t>mdu</t>
        </is>
      </c>
      <c r="R743" t="inlineStr">
        <is>
          <t xml:space="preserve">QV </t>
        </is>
      </c>
      <c r="S743" t="n">
        <v>50</v>
      </c>
      <c r="T743" t="n">
        <v>50</v>
      </c>
      <c r="U743" t="inlineStr">
        <is>
          <t>2004-10-30</t>
        </is>
      </c>
      <c r="V743" t="inlineStr">
        <is>
          <t>2004-10-30</t>
        </is>
      </c>
      <c r="W743" t="inlineStr">
        <is>
          <t>1998-09-17</t>
        </is>
      </c>
      <c r="X743" t="inlineStr">
        <is>
          <t>1998-09-17</t>
        </is>
      </c>
      <c r="Y743" t="n">
        <v>33</v>
      </c>
      <c r="Z743" t="n">
        <v>29</v>
      </c>
      <c r="AA743" t="n">
        <v>57</v>
      </c>
      <c r="AB743" t="n">
        <v>1</v>
      </c>
      <c r="AC743" t="n">
        <v>1</v>
      </c>
      <c r="AD743" t="n">
        <v>1</v>
      </c>
      <c r="AE743" t="n">
        <v>3</v>
      </c>
      <c r="AF743" t="n">
        <v>1</v>
      </c>
      <c r="AG743" t="n">
        <v>2</v>
      </c>
      <c r="AH743" t="n">
        <v>0</v>
      </c>
      <c r="AI743" t="n">
        <v>2</v>
      </c>
      <c r="AJ743" t="n">
        <v>0</v>
      </c>
      <c r="AK743" t="n">
        <v>0</v>
      </c>
      <c r="AL743" t="n">
        <v>0</v>
      </c>
      <c r="AM743" t="n">
        <v>0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HYPERLINK("http://catalog.hathitrust.org/Record/003055121","HathiTrust Record")</f>
        <v/>
      </c>
      <c r="AS743">
        <f>HYPERLINK("https://creighton-primo.hosted.exlibrisgroup.com/primo-explore/search?tab=default_tab&amp;search_scope=EVERYTHING&amp;vid=01CRU&amp;lang=en_US&amp;offset=0&amp;query=any,contains,991000666489702656","Catalog Record")</f>
        <v/>
      </c>
      <c r="AT743">
        <f>HYPERLINK("http://www.worldcat.org/oclc/33234995","WorldCat Record")</f>
        <v/>
      </c>
    </row>
    <row r="744">
      <c r="A744" t="inlineStr">
        <is>
          <t>No</t>
        </is>
      </c>
      <c r="B744" t="inlineStr">
        <is>
          <t>QV778 P957 2002</t>
        </is>
      </c>
      <c r="C744" t="inlineStr">
        <is>
          <t>0                      QV 0778000P  957         2002</t>
        </is>
      </c>
      <c r="D744" t="inlineStr">
        <is>
          <t>Principles of sterile product preparation / E. Clyde Buchanan ... [et al.].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Yes</t>
        </is>
      </c>
      <c r="J744" t="inlineStr">
        <is>
          <t>0</t>
        </is>
      </c>
      <c r="L744" t="inlineStr">
        <is>
          <t>Bethesda, MD : American Society of Health-System Pharamacists, c2002.</t>
        </is>
      </c>
      <c r="M744" t="inlineStr">
        <is>
          <t>2002</t>
        </is>
      </c>
      <c r="N744" t="inlineStr">
        <is>
          <t>Rev. 1st ed.</t>
        </is>
      </c>
      <c r="O744" t="inlineStr">
        <is>
          <t>eng</t>
        </is>
      </c>
      <c r="P744" t="inlineStr">
        <is>
          <t>mdu</t>
        </is>
      </c>
      <c r="R744" t="inlineStr">
        <is>
          <t xml:space="preserve">QV </t>
        </is>
      </c>
      <c r="S744" t="n">
        <v>14</v>
      </c>
      <c r="T744" t="n">
        <v>14</v>
      </c>
      <c r="U744" t="inlineStr">
        <is>
          <t>2008-06-10</t>
        </is>
      </c>
      <c r="V744" t="inlineStr">
        <is>
          <t>2008-06-10</t>
        </is>
      </c>
      <c r="W744" t="inlineStr">
        <is>
          <t>2004-01-23</t>
        </is>
      </c>
      <c r="X744" t="inlineStr">
        <is>
          <t>2004-01-23</t>
        </is>
      </c>
      <c r="Y744" t="n">
        <v>44</v>
      </c>
      <c r="Z744" t="n">
        <v>32</v>
      </c>
      <c r="AA744" t="n">
        <v>57</v>
      </c>
      <c r="AB744" t="n">
        <v>1</v>
      </c>
      <c r="AC744" t="n">
        <v>1</v>
      </c>
      <c r="AD744" t="n">
        <v>2</v>
      </c>
      <c r="AE744" t="n">
        <v>3</v>
      </c>
      <c r="AF744" t="n">
        <v>1</v>
      </c>
      <c r="AG744" t="n">
        <v>2</v>
      </c>
      <c r="AH744" t="n">
        <v>2</v>
      </c>
      <c r="AI744" t="n">
        <v>2</v>
      </c>
      <c r="AJ744" t="n">
        <v>0</v>
      </c>
      <c r="AK744" t="n">
        <v>0</v>
      </c>
      <c r="AL744" t="n">
        <v>0</v>
      </c>
      <c r="AM744" t="n">
        <v>0</v>
      </c>
      <c r="AN744" t="n">
        <v>0</v>
      </c>
      <c r="AO744" t="n">
        <v>0</v>
      </c>
      <c r="AP744" t="inlineStr">
        <is>
          <t>No</t>
        </is>
      </c>
      <c r="AQ744" t="inlineStr">
        <is>
          <t>No</t>
        </is>
      </c>
      <c r="AS744">
        <f>HYPERLINK("https://creighton-primo.hosted.exlibrisgroup.com/primo-explore/search?tab=default_tab&amp;search_scope=EVERYTHING&amp;vid=01CRU&amp;lang=en_US&amp;offset=0&amp;query=any,contains,991000329439702656","Catalog Record")</f>
        <v/>
      </c>
      <c r="AT744">
        <f>HYPERLINK("http://www.worldcat.org/oclc/48547984","WorldCat Record")</f>
        <v/>
      </c>
    </row>
    <row r="745">
      <c r="A745" t="inlineStr">
        <is>
          <t>No</t>
        </is>
      </c>
      <c r="B745" t="inlineStr">
        <is>
          <t>QV 778 T147m 1987</t>
        </is>
      </c>
      <c r="C745" t="inlineStr">
        <is>
          <t>0                      QV 0778000T  147m        1987</t>
        </is>
      </c>
      <c r="D745" t="inlineStr">
        <is>
          <t>Manual of pharmacologic calculations with computer programs / Ronald J. Tallarida, Rodney B. Murray.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Tallarida, Ronald J.</t>
        </is>
      </c>
      <c r="L745" t="inlineStr">
        <is>
          <t>New York : Springer-Verlag, c1987.</t>
        </is>
      </c>
      <c r="M745" t="inlineStr">
        <is>
          <t>1987</t>
        </is>
      </c>
      <c r="N745" t="inlineStr">
        <is>
          <t>2nd ed.</t>
        </is>
      </c>
      <c r="O745" t="inlineStr">
        <is>
          <t>eng</t>
        </is>
      </c>
      <c r="P745" t="inlineStr">
        <is>
          <t>nyu</t>
        </is>
      </c>
      <c r="R745" t="inlineStr">
        <is>
          <t xml:space="preserve">QV </t>
        </is>
      </c>
      <c r="S745" t="n">
        <v>5</v>
      </c>
      <c r="T745" t="n">
        <v>5</v>
      </c>
      <c r="U745" t="inlineStr">
        <is>
          <t>1993-01-23</t>
        </is>
      </c>
      <c r="V745" t="inlineStr">
        <is>
          <t>1993-01-23</t>
        </is>
      </c>
      <c r="W745" t="inlineStr">
        <is>
          <t>1988-02-04</t>
        </is>
      </c>
      <c r="X745" t="inlineStr">
        <is>
          <t>1988-02-04</t>
        </is>
      </c>
      <c r="Y745" t="n">
        <v>139</v>
      </c>
      <c r="Z745" t="n">
        <v>107</v>
      </c>
      <c r="AA745" t="n">
        <v>208</v>
      </c>
      <c r="AB745" t="n">
        <v>1</v>
      </c>
      <c r="AC745" t="n">
        <v>2</v>
      </c>
      <c r="AD745" t="n">
        <v>0</v>
      </c>
      <c r="AE745" t="n">
        <v>4</v>
      </c>
      <c r="AF745" t="n">
        <v>0</v>
      </c>
      <c r="AG745" t="n">
        <v>2</v>
      </c>
      <c r="AH745" t="n">
        <v>0</v>
      </c>
      <c r="AI745" t="n">
        <v>1</v>
      </c>
      <c r="AJ745" t="n">
        <v>0</v>
      </c>
      <c r="AK745" t="n">
        <v>2</v>
      </c>
      <c r="AL745" t="n">
        <v>0</v>
      </c>
      <c r="AM745" t="n">
        <v>1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HYPERLINK("http://catalog.hathitrust.org/Record/000595883","HathiTrust Record")</f>
        <v/>
      </c>
      <c r="AS745">
        <f>HYPERLINK("https://creighton-primo.hosted.exlibrisgroup.com/primo-explore/search?tab=default_tab&amp;search_scope=EVERYTHING&amp;vid=01CRU&amp;lang=en_US&amp;offset=0&amp;query=any,contains,991000994539702656","Catalog Record")</f>
        <v/>
      </c>
      <c r="AT745">
        <f>HYPERLINK("http://www.worldcat.org/oclc/13643625","WorldCat Record")</f>
        <v/>
      </c>
    </row>
    <row r="746">
      <c r="A746" t="inlineStr">
        <is>
          <t>No</t>
        </is>
      </c>
      <c r="B746" t="inlineStr">
        <is>
          <t>QV778 T396 2005</t>
        </is>
      </c>
      <c r="C746" t="inlineStr">
        <is>
          <t>0                      QV 0778000T  396         2005</t>
        </is>
      </c>
      <c r="D746" t="inlineStr">
        <is>
          <t>Theory and practice of contemporary pharmaceutics / edited by Tapash K. Ghosh, Bhaskara R. Jasti.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L746" t="inlineStr">
        <is>
          <t>Boca Raton : CRC Press, c2005.</t>
        </is>
      </c>
      <c r="M746" t="inlineStr">
        <is>
          <t>2005</t>
        </is>
      </c>
      <c r="O746" t="inlineStr">
        <is>
          <t>eng</t>
        </is>
      </c>
      <c r="P746" t="inlineStr">
        <is>
          <t>flu</t>
        </is>
      </c>
      <c r="R746" t="inlineStr">
        <is>
          <t xml:space="preserve">QV </t>
        </is>
      </c>
      <c r="S746" t="n">
        <v>11</v>
      </c>
      <c r="T746" t="n">
        <v>11</v>
      </c>
      <c r="U746" t="inlineStr">
        <is>
          <t>2009-11-18</t>
        </is>
      </c>
      <c r="V746" t="inlineStr">
        <is>
          <t>2009-11-18</t>
        </is>
      </c>
      <c r="W746" t="inlineStr">
        <is>
          <t>2005-03-02</t>
        </is>
      </c>
      <c r="X746" t="inlineStr">
        <is>
          <t>2005-03-02</t>
        </is>
      </c>
      <c r="Y746" t="n">
        <v>139</v>
      </c>
      <c r="Z746" t="n">
        <v>80</v>
      </c>
      <c r="AA746" t="n">
        <v>105</v>
      </c>
      <c r="AB746" t="n">
        <v>2</v>
      </c>
      <c r="AC746" t="n">
        <v>2</v>
      </c>
      <c r="AD746" t="n">
        <v>5</v>
      </c>
      <c r="AE746" t="n">
        <v>6</v>
      </c>
      <c r="AF746" t="n">
        <v>4</v>
      </c>
      <c r="AG746" t="n">
        <v>4</v>
      </c>
      <c r="AH746" t="n">
        <v>1</v>
      </c>
      <c r="AI746" t="n">
        <v>1</v>
      </c>
      <c r="AJ746" t="n">
        <v>0</v>
      </c>
      <c r="AK746" t="n">
        <v>1</v>
      </c>
      <c r="AL746" t="n">
        <v>1</v>
      </c>
      <c r="AM746" t="n">
        <v>1</v>
      </c>
      <c r="AN746" t="n">
        <v>0</v>
      </c>
      <c r="AO746" t="n">
        <v>0</v>
      </c>
      <c r="AP746" t="inlineStr">
        <is>
          <t>No</t>
        </is>
      </c>
      <c r="AQ746" t="inlineStr">
        <is>
          <t>No</t>
        </is>
      </c>
      <c r="AS746">
        <f>HYPERLINK("https://creighton-primo.hosted.exlibrisgroup.com/primo-explore/search?tab=default_tab&amp;search_scope=EVERYTHING&amp;vid=01CRU&amp;lang=en_US&amp;offset=0&amp;query=any,contains,991000430989702656","Catalog Record")</f>
        <v/>
      </c>
      <c r="AT746">
        <f>HYPERLINK("http://www.worldcat.org/oclc/50858958","WorldCat Record")</f>
        <v/>
      </c>
    </row>
    <row r="747">
      <c r="A747" t="inlineStr">
        <is>
          <t>No</t>
        </is>
      </c>
      <c r="B747" t="inlineStr">
        <is>
          <t>QV 778 T933s 1987</t>
        </is>
      </c>
      <c r="C747" t="inlineStr">
        <is>
          <t>0                      QV 0778000T  933s        1987</t>
        </is>
      </c>
      <c r="D747" t="inlineStr">
        <is>
          <t>Sterile dosage forms : their preparation and clinical application / Salvatore Turco, Robert E. King.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Yes</t>
        </is>
      </c>
      <c r="J747" t="inlineStr">
        <is>
          <t>0</t>
        </is>
      </c>
      <c r="K747" t="inlineStr">
        <is>
          <t>Turco, Salvatore J.</t>
        </is>
      </c>
      <c r="L747" t="inlineStr">
        <is>
          <t>Philadelphia : Lea &amp; Febiger, c1987.</t>
        </is>
      </c>
      <c r="M747" t="inlineStr">
        <is>
          <t>1987</t>
        </is>
      </c>
      <c r="N747" t="inlineStr">
        <is>
          <t>3rd ed.</t>
        </is>
      </c>
      <c r="O747" t="inlineStr">
        <is>
          <t>eng</t>
        </is>
      </c>
      <c r="P747" t="inlineStr">
        <is>
          <t>xxu</t>
        </is>
      </c>
      <c r="R747" t="inlineStr">
        <is>
          <t xml:space="preserve">QV </t>
        </is>
      </c>
      <c r="S747" t="n">
        <v>55</v>
      </c>
      <c r="T747" t="n">
        <v>55</v>
      </c>
      <c r="U747" t="inlineStr">
        <is>
          <t>2000-12-07</t>
        </is>
      </c>
      <c r="V747" t="inlineStr">
        <is>
          <t>2000-12-07</t>
        </is>
      </c>
      <c r="W747" t="inlineStr">
        <is>
          <t>1990-08-07</t>
        </is>
      </c>
      <c r="X747" t="inlineStr">
        <is>
          <t>1990-08-07</t>
        </is>
      </c>
      <c r="Y747" t="n">
        <v>116</v>
      </c>
      <c r="Z747" t="n">
        <v>89</v>
      </c>
      <c r="AA747" t="n">
        <v>187</v>
      </c>
      <c r="AB747" t="n">
        <v>2</v>
      </c>
      <c r="AC747" t="n">
        <v>2</v>
      </c>
      <c r="AD747" t="n">
        <v>4</v>
      </c>
      <c r="AE747" t="n">
        <v>6</v>
      </c>
      <c r="AF747" t="n">
        <v>2</v>
      </c>
      <c r="AG747" t="n">
        <v>4</v>
      </c>
      <c r="AH747" t="n">
        <v>1</v>
      </c>
      <c r="AI747" t="n">
        <v>2</v>
      </c>
      <c r="AJ747" t="n">
        <v>0</v>
      </c>
      <c r="AK747" t="n">
        <v>0</v>
      </c>
      <c r="AL747" t="n">
        <v>1</v>
      </c>
      <c r="AM747" t="n">
        <v>1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HYPERLINK("http://catalog.hathitrust.org/Record/000830937","HathiTrust Record")</f>
        <v/>
      </c>
      <c r="AS747">
        <f>HYPERLINK("https://creighton-primo.hosted.exlibrisgroup.com/primo-explore/search?tab=default_tab&amp;search_scope=EVERYTHING&amp;vid=01CRU&amp;lang=en_US&amp;offset=0&amp;query=any,contains,991001452089702656","Catalog Record")</f>
        <v/>
      </c>
      <c r="AT747">
        <f>HYPERLINK("http://www.worldcat.org/oclc/14242644","WorldCat Record")</f>
        <v/>
      </c>
    </row>
    <row r="748">
      <c r="A748" t="inlineStr">
        <is>
          <t>No</t>
        </is>
      </c>
      <c r="B748" t="inlineStr">
        <is>
          <t>QV 778 T933s 1994</t>
        </is>
      </c>
      <c r="C748" t="inlineStr">
        <is>
          <t>0                      QV 0778000T  933s        1994</t>
        </is>
      </c>
      <c r="D748" t="inlineStr">
        <is>
          <t>Sterile dosage forms : their preparation and clinical application / Salvatore Turco.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Yes</t>
        </is>
      </c>
      <c r="J748" t="inlineStr">
        <is>
          <t>0</t>
        </is>
      </c>
      <c r="K748" t="inlineStr">
        <is>
          <t>Turco, Salvatore J.</t>
        </is>
      </c>
      <c r="L748" t="inlineStr">
        <is>
          <t>Philadelphia : Lea &amp; Febiger, c1994.</t>
        </is>
      </c>
      <c r="M748" t="inlineStr">
        <is>
          <t>1994</t>
        </is>
      </c>
      <c r="N748" t="inlineStr">
        <is>
          <t>4th ed.</t>
        </is>
      </c>
      <c r="O748" t="inlineStr">
        <is>
          <t>eng</t>
        </is>
      </c>
      <c r="P748" t="inlineStr">
        <is>
          <t>pau</t>
        </is>
      </c>
      <c r="R748" t="inlineStr">
        <is>
          <t xml:space="preserve">QV </t>
        </is>
      </c>
      <c r="S748" t="n">
        <v>137</v>
      </c>
      <c r="T748" t="n">
        <v>137</v>
      </c>
      <c r="U748" t="inlineStr">
        <is>
          <t>2004-09-27</t>
        </is>
      </c>
      <c r="V748" t="inlineStr">
        <is>
          <t>2004-09-27</t>
        </is>
      </c>
      <c r="W748" t="inlineStr">
        <is>
          <t>1994-08-04</t>
        </is>
      </c>
      <c r="X748" t="inlineStr">
        <is>
          <t>1994-08-04</t>
        </is>
      </c>
      <c r="Y748" t="n">
        <v>107</v>
      </c>
      <c r="Z748" t="n">
        <v>76</v>
      </c>
      <c r="AA748" t="n">
        <v>187</v>
      </c>
      <c r="AB748" t="n">
        <v>1</v>
      </c>
      <c r="AC748" t="n">
        <v>2</v>
      </c>
      <c r="AD748" t="n">
        <v>5</v>
      </c>
      <c r="AE748" t="n">
        <v>6</v>
      </c>
      <c r="AF748" t="n">
        <v>4</v>
      </c>
      <c r="AG748" t="n">
        <v>4</v>
      </c>
      <c r="AH748" t="n">
        <v>2</v>
      </c>
      <c r="AI748" t="n">
        <v>2</v>
      </c>
      <c r="AJ748" t="n">
        <v>0</v>
      </c>
      <c r="AK748" t="n">
        <v>0</v>
      </c>
      <c r="AL748" t="n">
        <v>0</v>
      </c>
      <c r="AM748" t="n">
        <v>1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HYPERLINK("http://catalog.hathitrust.org/Record/002780532","HathiTrust Record")</f>
        <v/>
      </c>
      <c r="AS748">
        <f>HYPERLINK("https://creighton-primo.hosted.exlibrisgroup.com/primo-explore/search?tab=default_tab&amp;search_scope=EVERYTHING&amp;vid=01CRU&amp;lang=en_US&amp;offset=0&amp;query=any,contains,991001487229702656","Catalog Record")</f>
        <v/>
      </c>
      <c r="AT748">
        <f>HYPERLINK("http://www.worldcat.org/oclc/28427868","WorldCat Record")</f>
        <v/>
      </c>
    </row>
    <row r="749">
      <c r="A749" t="inlineStr">
        <is>
          <t>No</t>
        </is>
      </c>
      <c r="B749" t="inlineStr">
        <is>
          <t>QV 785 A618i 1990</t>
        </is>
      </c>
      <c r="C749" t="inlineStr">
        <is>
          <t>0                      QV 0785000A  618i        1990</t>
        </is>
      </c>
      <c r="D749" t="inlineStr">
        <is>
          <t>Pharmaceutical dosage forms and drug delivery systems / Howard C. Ansel, Nicholas G. Popovich.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Yes</t>
        </is>
      </c>
      <c r="J749" t="inlineStr">
        <is>
          <t>0</t>
        </is>
      </c>
      <c r="K749" t="inlineStr">
        <is>
          <t>Ansel, Howard C., 1933-</t>
        </is>
      </c>
      <c r="L749" t="inlineStr">
        <is>
          <t>Philadelphia : Lea &amp; Febiger, c1990.</t>
        </is>
      </c>
      <c r="M749" t="inlineStr">
        <is>
          <t>1990</t>
        </is>
      </c>
      <c r="N749" t="inlineStr">
        <is>
          <t>5th ed.</t>
        </is>
      </c>
      <c r="O749" t="inlineStr">
        <is>
          <t>eng</t>
        </is>
      </c>
      <c r="P749" t="inlineStr">
        <is>
          <t>xxu</t>
        </is>
      </c>
      <c r="R749" t="inlineStr">
        <is>
          <t xml:space="preserve">QV </t>
        </is>
      </c>
      <c r="S749" t="n">
        <v>18</v>
      </c>
      <c r="T749" t="n">
        <v>18</v>
      </c>
      <c r="U749" t="inlineStr">
        <is>
          <t>2007-03-26</t>
        </is>
      </c>
      <c r="V749" t="inlineStr">
        <is>
          <t>2007-03-26</t>
        </is>
      </c>
      <c r="W749" t="inlineStr">
        <is>
          <t>1990-08-09</t>
        </is>
      </c>
      <c r="X749" t="inlineStr">
        <is>
          <t>1990-08-09</t>
        </is>
      </c>
      <c r="Y749" t="n">
        <v>124</v>
      </c>
      <c r="Z749" t="n">
        <v>79</v>
      </c>
      <c r="AA749" t="n">
        <v>157</v>
      </c>
      <c r="AB749" t="n">
        <v>1</v>
      </c>
      <c r="AC749" t="n">
        <v>1</v>
      </c>
      <c r="AD749" t="n">
        <v>3</v>
      </c>
      <c r="AE749" t="n">
        <v>5</v>
      </c>
      <c r="AF749" t="n">
        <v>3</v>
      </c>
      <c r="AG749" t="n">
        <v>3</v>
      </c>
      <c r="AH749" t="n">
        <v>1</v>
      </c>
      <c r="AI749" t="n">
        <v>2</v>
      </c>
      <c r="AJ749" t="n">
        <v>0</v>
      </c>
      <c r="AK749" t="n">
        <v>1</v>
      </c>
      <c r="AL749" t="n">
        <v>0</v>
      </c>
      <c r="AM749" t="n">
        <v>0</v>
      </c>
      <c r="AN749" t="n">
        <v>0</v>
      </c>
      <c r="AO749" t="n">
        <v>0</v>
      </c>
      <c r="AP749" t="inlineStr">
        <is>
          <t>No</t>
        </is>
      </c>
      <c r="AQ749" t="inlineStr">
        <is>
          <t>No</t>
        </is>
      </c>
      <c r="AS749">
        <f>HYPERLINK("https://creighton-primo.hosted.exlibrisgroup.com/primo-explore/search?tab=default_tab&amp;search_scope=EVERYTHING&amp;vid=01CRU&amp;lang=en_US&amp;offset=0&amp;query=any,contains,991001452419702656","Catalog Record")</f>
        <v/>
      </c>
      <c r="AT749">
        <f>HYPERLINK("http://www.worldcat.org/oclc/19739330","WorldCat Record")</f>
        <v/>
      </c>
    </row>
    <row r="750">
      <c r="A750" t="inlineStr">
        <is>
          <t>No</t>
        </is>
      </c>
      <c r="B750" t="inlineStr">
        <is>
          <t>QV 785 A618i 1999</t>
        </is>
      </c>
      <c r="C750" t="inlineStr">
        <is>
          <t>0                      QV 0785000A  618i        1999</t>
        </is>
      </c>
      <c r="D750" t="inlineStr">
        <is>
          <t>Pharmaceutical dosage forms and drug delivery systems / Howard C. Ansel, Loyd V. Allen, Jr., Nicholas G. Popovich.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Yes</t>
        </is>
      </c>
      <c r="J750" t="inlineStr">
        <is>
          <t>0</t>
        </is>
      </c>
      <c r="K750" t="inlineStr">
        <is>
          <t>Ansel, Howard C., 1933-</t>
        </is>
      </c>
      <c r="L750" t="inlineStr">
        <is>
          <t>Philadelphia, Pa. : Lippincott-Williams &amp; Wilkins, c1999.</t>
        </is>
      </c>
      <c r="M750" t="inlineStr">
        <is>
          <t>1999</t>
        </is>
      </c>
      <c r="N750" t="inlineStr">
        <is>
          <t>7th ed.</t>
        </is>
      </c>
      <c r="O750" t="inlineStr">
        <is>
          <t>eng</t>
        </is>
      </c>
      <c r="P750" t="inlineStr">
        <is>
          <t>pau</t>
        </is>
      </c>
      <c r="R750" t="inlineStr">
        <is>
          <t xml:space="preserve">QV </t>
        </is>
      </c>
      <c r="S750" t="n">
        <v>35</v>
      </c>
      <c r="T750" t="n">
        <v>35</v>
      </c>
      <c r="U750" t="inlineStr">
        <is>
          <t>2007-04-05</t>
        </is>
      </c>
      <c r="V750" t="inlineStr">
        <is>
          <t>2007-04-05</t>
        </is>
      </c>
      <c r="W750" t="inlineStr">
        <is>
          <t>1999-11-05</t>
        </is>
      </c>
      <c r="X750" t="inlineStr">
        <is>
          <t>1999-11-05</t>
        </is>
      </c>
      <c r="Y750" t="n">
        <v>154</v>
      </c>
      <c r="Z750" t="n">
        <v>93</v>
      </c>
      <c r="AA750" t="n">
        <v>157</v>
      </c>
      <c r="AB750" t="n">
        <v>1</v>
      </c>
      <c r="AC750" t="n">
        <v>1</v>
      </c>
      <c r="AD750" t="n">
        <v>2</v>
      </c>
      <c r="AE750" t="n">
        <v>5</v>
      </c>
      <c r="AF750" t="n">
        <v>0</v>
      </c>
      <c r="AG750" t="n">
        <v>3</v>
      </c>
      <c r="AH750" t="n">
        <v>1</v>
      </c>
      <c r="AI750" t="n">
        <v>2</v>
      </c>
      <c r="AJ750" t="n">
        <v>1</v>
      </c>
      <c r="AK750" t="n">
        <v>1</v>
      </c>
      <c r="AL750" t="n">
        <v>0</v>
      </c>
      <c r="AM750" t="n">
        <v>0</v>
      </c>
      <c r="AN750" t="n">
        <v>0</v>
      </c>
      <c r="AO750" t="n">
        <v>0</v>
      </c>
      <c r="AP750" t="inlineStr">
        <is>
          <t>No</t>
        </is>
      </c>
      <c r="AQ750" t="inlineStr">
        <is>
          <t>No</t>
        </is>
      </c>
      <c r="AS750">
        <f>HYPERLINK("https://creighton-primo.hosted.exlibrisgroup.com/primo-explore/search?tab=default_tab&amp;search_scope=EVERYTHING&amp;vid=01CRU&amp;lang=en_US&amp;offset=0&amp;query=any,contains,991001408449702656","Catalog Record")</f>
        <v/>
      </c>
      <c r="AT750">
        <f>HYPERLINK("http://www.worldcat.org/oclc/40881470","WorldCat Record")</f>
        <v/>
      </c>
    </row>
    <row r="751">
      <c r="A751" t="inlineStr">
        <is>
          <t>No</t>
        </is>
      </c>
      <c r="B751" t="inlineStr">
        <is>
          <t>QV 785 B6144 1990</t>
        </is>
      </c>
      <c r="C751" t="inlineStr">
        <is>
          <t>0                      QV 0785000B  6144        1990</t>
        </is>
      </c>
      <c r="D751" t="inlineStr">
        <is>
          <t>Bioadhesive drug delivery systems / editors, Vincent Lenaerts, Robert Gurny.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L751" t="inlineStr">
        <is>
          <t>Boca Raton, Fla. : CRC Press, c1990.</t>
        </is>
      </c>
      <c r="M751" t="inlineStr">
        <is>
          <t>1990</t>
        </is>
      </c>
      <c r="O751" t="inlineStr">
        <is>
          <t>eng</t>
        </is>
      </c>
      <c r="P751" t="inlineStr">
        <is>
          <t>xxu</t>
        </is>
      </c>
      <c r="R751" t="inlineStr">
        <is>
          <t xml:space="preserve">QV </t>
        </is>
      </c>
      <c r="S751" t="n">
        <v>13</v>
      </c>
      <c r="T751" t="n">
        <v>13</v>
      </c>
      <c r="U751" t="inlineStr">
        <is>
          <t>2006-08-20</t>
        </is>
      </c>
      <c r="V751" t="inlineStr">
        <is>
          <t>2006-08-20</t>
        </is>
      </c>
      <c r="W751" t="inlineStr">
        <is>
          <t>1990-08-09</t>
        </is>
      </c>
      <c r="X751" t="inlineStr">
        <is>
          <t>1990-08-09</t>
        </is>
      </c>
      <c r="Y751" t="n">
        <v>102</v>
      </c>
      <c r="Z751" t="n">
        <v>75</v>
      </c>
      <c r="AA751" t="n">
        <v>75</v>
      </c>
      <c r="AB751" t="n">
        <v>1</v>
      </c>
      <c r="AC751" t="n">
        <v>1</v>
      </c>
      <c r="AD751" t="n">
        <v>2</v>
      </c>
      <c r="AE751" t="n">
        <v>2</v>
      </c>
      <c r="AF751" t="n">
        <v>0</v>
      </c>
      <c r="AG751" t="n">
        <v>0</v>
      </c>
      <c r="AH751" t="n">
        <v>2</v>
      </c>
      <c r="AI751" t="n">
        <v>2</v>
      </c>
      <c r="AJ751" t="n">
        <v>0</v>
      </c>
      <c r="AK751" t="n">
        <v>0</v>
      </c>
      <c r="AL751" t="n">
        <v>0</v>
      </c>
      <c r="AM751" t="n">
        <v>0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HYPERLINK("https://creighton-primo.hosted.exlibrisgroup.com/primo-explore/search?tab=default_tab&amp;search_scope=EVERYTHING&amp;vid=01CRU&amp;lang=en_US&amp;offset=0&amp;query=any,contains,991001452629702656","Catalog Record")</f>
        <v/>
      </c>
      <c r="AT751">
        <f>HYPERLINK("http://www.worldcat.org/oclc/19553672","WorldCat Record")</f>
        <v/>
      </c>
    </row>
    <row r="752">
      <c r="A752" t="inlineStr">
        <is>
          <t>No</t>
        </is>
      </c>
      <c r="B752" t="inlineStr">
        <is>
          <t>QV 785 C7642 1989</t>
        </is>
      </c>
      <c r="C752" t="inlineStr">
        <is>
          <t>0                      QV 0785000C  7642        1989</t>
        </is>
      </c>
      <c r="D752" t="inlineStr">
        <is>
          <t>Controlled release of drugs : polymers and aggregate systems / edited by Morton Rosoff.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L752" t="inlineStr">
        <is>
          <t>New York, N.Y. : VCH Publishers ; Federal Republic of Germany : VCH Verlagsgesellschaft, c1989.</t>
        </is>
      </c>
      <c r="M752" t="inlineStr">
        <is>
          <t>1989</t>
        </is>
      </c>
      <c r="O752" t="inlineStr">
        <is>
          <t>eng</t>
        </is>
      </c>
      <c r="P752" t="inlineStr">
        <is>
          <t>xxu</t>
        </is>
      </c>
      <c r="R752" t="inlineStr">
        <is>
          <t xml:space="preserve">QV </t>
        </is>
      </c>
      <c r="S752" t="n">
        <v>16</v>
      </c>
      <c r="T752" t="n">
        <v>16</v>
      </c>
      <c r="U752" t="inlineStr">
        <is>
          <t>2006-08-20</t>
        </is>
      </c>
      <c r="V752" t="inlineStr">
        <is>
          <t>2006-08-20</t>
        </is>
      </c>
      <c r="W752" t="inlineStr">
        <is>
          <t>1990-05-24</t>
        </is>
      </c>
      <c r="X752" t="inlineStr">
        <is>
          <t>1990-05-24</t>
        </is>
      </c>
      <c r="Y752" t="n">
        <v>145</v>
      </c>
      <c r="Z752" t="n">
        <v>100</v>
      </c>
      <c r="AA752" t="n">
        <v>108</v>
      </c>
      <c r="AB752" t="n">
        <v>2</v>
      </c>
      <c r="AC752" t="n">
        <v>2</v>
      </c>
      <c r="AD752" t="n">
        <v>6</v>
      </c>
      <c r="AE752" t="n">
        <v>6</v>
      </c>
      <c r="AF752" t="n">
        <v>2</v>
      </c>
      <c r="AG752" t="n">
        <v>2</v>
      </c>
      <c r="AH752" t="n">
        <v>3</v>
      </c>
      <c r="AI752" t="n">
        <v>3</v>
      </c>
      <c r="AJ752" t="n">
        <v>2</v>
      </c>
      <c r="AK752" t="n">
        <v>2</v>
      </c>
      <c r="AL752" t="n">
        <v>1</v>
      </c>
      <c r="AM752" t="n">
        <v>1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HYPERLINK("http://catalog.hathitrust.org/Record/001821966","HathiTrust Record")</f>
        <v/>
      </c>
      <c r="AS752">
        <f>HYPERLINK("https://creighton-primo.hosted.exlibrisgroup.com/primo-explore/search?tab=default_tab&amp;search_scope=EVERYTHING&amp;vid=01CRU&amp;lang=en_US&amp;offset=0&amp;query=any,contains,991001448629702656","Catalog Record")</f>
        <v/>
      </c>
      <c r="AT752">
        <f>HYPERLINK("http://www.worldcat.org/oclc/18106215","WorldCat Record")</f>
        <v/>
      </c>
    </row>
    <row r="753">
      <c r="A753" t="inlineStr">
        <is>
          <t>No</t>
        </is>
      </c>
      <c r="B753" t="inlineStr">
        <is>
          <t>QV 785 C951p 1952</t>
        </is>
      </c>
      <c r="C753" t="inlineStr">
        <is>
          <t>0                      QV 0785000C  951p        1952</t>
        </is>
      </c>
      <c r="D753" t="inlineStr">
        <is>
          <t>Pharmaceutical preparations / by George E. Crossen and Karl J. Goldner.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Crossen, George Edward, 1905-</t>
        </is>
      </c>
      <c r="L753" t="inlineStr">
        <is>
          <t>Philadelphia : Lea &amp; Febiger, c1952.</t>
        </is>
      </c>
      <c r="M753" t="inlineStr">
        <is>
          <t>1952</t>
        </is>
      </c>
      <c r="N753" t="inlineStr">
        <is>
          <t>3d ed., thoroughly rev.</t>
        </is>
      </c>
      <c r="O753" t="inlineStr">
        <is>
          <t>eng</t>
        </is>
      </c>
      <c r="P753" t="inlineStr">
        <is>
          <t>pau</t>
        </is>
      </c>
      <c r="R753" t="inlineStr">
        <is>
          <t xml:space="preserve">QV </t>
        </is>
      </c>
      <c r="S753" t="n">
        <v>1</v>
      </c>
      <c r="T753" t="n">
        <v>1</v>
      </c>
      <c r="U753" t="inlineStr">
        <is>
          <t>1999-09-10</t>
        </is>
      </c>
      <c r="V753" t="inlineStr">
        <is>
          <t>1999-09-10</t>
        </is>
      </c>
      <c r="W753" t="inlineStr">
        <is>
          <t>1988-02-04</t>
        </is>
      </c>
      <c r="X753" t="inlineStr">
        <is>
          <t>1988-02-04</t>
        </is>
      </c>
      <c r="Y753" t="n">
        <v>51</v>
      </c>
      <c r="Z753" t="n">
        <v>47</v>
      </c>
      <c r="AA753" t="n">
        <v>59</v>
      </c>
      <c r="AB753" t="n">
        <v>2</v>
      </c>
      <c r="AC753" t="n">
        <v>2</v>
      </c>
      <c r="AD753" t="n">
        <v>4</v>
      </c>
      <c r="AE753" t="n">
        <v>4</v>
      </c>
      <c r="AF753" t="n">
        <v>2</v>
      </c>
      <c r="AG753" t="n">
        <v>2</v>
      </c>
      <c r="AH753" t="n">
        <v>2</v>
      </c>
      <c r="AI753" t="n">
        <v>2</v>
      </c>
      <c r="AJ753" t="n">
        <v>0</v>
      </c>
      <c r="AK753" t="n">
        <v>0</v>
      </c>
      <c r="AL753" t="n">
        <v>1</v>
      </c>
      <c r="AM753" t="n">
        <v>1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HYPERLINK("http://catalog.hathitrust.org/Record/001582291","HathiTrust Record")</f>
        <v/>
      </c>
      <c r="AS753">
        <f>HYPERLINK("https://creighton-primo.hosted.exlibrisgroup.com/primo-explore/search?tab=default_tab&amp;search_scope=EVERYTHING&amp;vid=01CRU&amp;lang=en_US&amp;offset=0&amp;query=any,contains,991000994489702656","Catalog Record")</f>
        <v/>
      </c>
      <c r="AT753">
        <f>HYPERLINK("http://www.worldcat.org/oclc/3254114","WorldCat Record")</f>
        <v/>
      </c>
    </row>
    <row r="754">
      <c r="A754" t="inlineStr">
        <is>
          <t>No</t>
        </is>
      </c>
      <c r="B754" t="inlineStr">
        <is>
          <t>QV 785 I34 1991</t>
        </is>
      </c>
      <c r="C754" t="inlineStr">
        <is>
          <t>0                      QV 0785000I  34          1991</t>
        </is>
      </c>
      <c r="D754" t="inlineStr">
        <is>
          <t>Implantable drug delivery systems / editors, U. Laffer, I. Bachmann-Mettler, U. Metzger.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L754" t="inlineStr">
        <is>
          <t>Basel ; New York : Karger, c1991.</t>
        </is>
      </c>
      <c r="M754" t="inlineStr">
        <is>
          <t>1991</t>
        </is>
      </c>
      <c r="O754" t="inlineStr">
        <is>
          <t>eng</t>
        </is>
      </c>
      <c r="P754" t="inlineStr">
        <is>
          <t xml:space="preserve">sz </t>
        </is>
      </c>
      <c r="R754" t="inlineStr">
        <is>
          <t xml:space="preserve">QV </t>
        </is>
      </c>
      <c r="S754" t="n">
        <v>9</v>
      </c>
      <c r="T754" t="n">
        <v>9</v>
      </c>
      <c r="U754" t="inlineStr">
        <is>
          <t>2000-02-23</t>
        </is>
      </c>
      <c r="V754" t="inlineStr">
        <is>
          <t>2000-02-23</t>
        </is>
      </c>
      <c r="W754" t="inlineStr">
        <is>
          <t>1991-11-18</t>
        </is>
      </c>
      <c r="X754" t="inlineStr">
        <is>
          <t>1991-11-18</t>
        </is>
      </c>
      <c r="Y754" t="n">
        <v>72</v>
      </c>
      <c r="Z754" t="n">
        <v>50</v>
      </c>
      <c r="AA754" t="n">
        <v>52</v>
      </c>
      <c r="AB754" t="n">
        <v>1</v>
      </c>
      <c r="AC754" t="n">
        <v>1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0</v>
      </c>
      <c r="AM754" t="n">
        <v>0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HYPERLINK("http://catalog.hathitrust.org/Record/002493271","HathiTrust Record")</f>
        <v/>
      </c>
      <c r="AS754">
        <f>HYPERLINK("https://creighton-primo.hosted.exlibrisgroup.com/primo-explore/search?tab=default_tab&amp;search_scope=EVERYTHING&amp;vid=01CRU&amp;lang=en_US&amp;offset=0&amp;query=any,contains,991001021749702656","Catalog Record")</f>
        <v/>
      </c>
      <c r="AT754">
        <f>HYPERLINK("http://www.worldcat.org/oclc/24143030","WorldCat Record")</f>
        <v/>
      </c>
    </row>
    <row r="755">
      <c r="A755" t="inlineStr">
        <is>
          <t>No</t>
        </is>
      </c>
      <c r="B755" t="inlineStr">
        <is>
          <t>QV 785 I61f 1977</t>
        </is>
      </c>
      <c r="C755" t="inlineStr">
        <is>
          <t>0                      QV 0785000I  61f         1977</t>
        </is>
      </c>
      <c r="D755" t="inlineStr">
        <is>
          <t>Formulation and preparation of dosage forms : proceedings of the 37th International Congress of Pharmaceutical Sciences of F.I.P. held in The Hauge, The Netherlands, September 5-9, 1977 / editor, J. Polderman.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International Congress of Pharmaceutical Sciences (37th : 1977 : Hague, Netherlands)</t>
        </is>
      </c>
      <c r="L755" t="inlineStr">
        <is>
          <t>Amsterdam ; New York : Elsevier/North-Holland Biomedical Press ; New York : sole distributors for the U.S.A. and Canada, Elsevier North-Holland, 1977.</t>
        </is>
      </c>
      <c r="M755" t="inlineStr">
        <is>
          <t>1977</t>
        </is>
      </c>
      <c r="O755" t="inlineStr">
        <is>
          <t>eng</t>
        </is>
      </c>
      <c r="P755" t="inlineStr">
        <is>
          <t xml:space="preserve">ne </t>
        </is>
      </c>
      <c r="R755" t="inlineStr">
        <is>
          <t xml:space="preserve">QV </t>
        </is>
      </c>
      <c r="S755" t="n">
        <v>6</v>
      </c>
      <c r="T755" t="n">
        <v>6</v>
      </c>
      <c r="U755" t="inlineStr">
        <is>
          <t>1991-04-04</t>
        </is>
      </c>
      <c r="V755" t="inlineStr">
        <is>
          <t>1991-04-04</t>
        </is>
      </c>
      <c r="W755" t="inlineStr">
        <is>
          <t>1988-02-04</t>
        </is>
      </c>
      <c r="X755" t="inlineStr">
        <is>
          <t>1988-02-04</t>
        </is>
      </c>
      <c r="Y755" t="n">
        <v>108</v>
      </c>
      <c r="Z755" t="n">
        <v>74</v>
      </c>
      <c r="AA755" t="n">
        <v>74</v>
      </c>
      <c r="AB755" t="n">
        <v>2</v>
      </c>
      <c r="AC755" t="n">
        <v>2</v>
      </c>
      <c r="AD755" t="n">
        <v>4</v>
      </c>
      <c r="AE755" t="n">
        <v>4</v>
      </c>
      <c r="AF755" t="n">
        <v>1</v>
      </c>
      <c r="AG755" t="n">
        <v>1</v>
      </c>
      <c r="AH755" t="n">
        <v>1</v>
      </c>
      <c r="AI755" t="n">
        <v>1</v>
      </c>
      <c r="AJ755" t="n">
        <v>1</v>
      </c>
      <c r="AK755" t="n">
        <v>1</v>
      </c>
      <c r="AL755" t="n">
        <v>1</v>
      </c>
      <c r="AM755" t="n">
        <v>1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HYPERLINK("https://creighton-primo.hosted.exlibrisgroup.com/primo-explore/search?tab=default_tab&amp;search_scope=EVERYTHING&amp;vid=01CRU&amp;lang=en_US&amp;offset=0&amp;query=any,contains,991000994449702656","Catalog Record")</f>
        <v/>
      </c>
      <c r="AT755">
        <f>HYPERLINK("http://www.worldcat.org/oclc/3481984","WorldCat Record")</f>
        <v/>
      </c>
    </row>
    <row r="756">
      <c r="A756" t="inlineStr">
        <is>
          <t>No</t>
        </is>
      </c>
      <c r="B756" t="inlineStr">
        <is>
          <t>QV 785 L764 1991</t>
        </is>
      </c>
      <c r="C756" t="inlineStr">
        <is>
          <t>0                      QV 0785000L  764         1991</t>
        </is>
      </c>
      <c r="D756" t="inlineStr">
        <is>
          <t>Lipoproteins as carriers of pharmacological agents / edited by J. Michael Shaw.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L756" t="inlineStr">
        <is>
          <t>New York : Dekker, c1991.</t>
        </is>
      </c>
      <c r="M756" t="inlineStr">
        <is>
          <t>1991</t>
        </is>
      </c>
      <c r="O756" t="inlineStr">
        <is>
          <t>eng</t>
        </is>
      </c>
      <c r="P756" t="inlineStr">
        <is>
          <t>xxu</t>
        </is>
      </c>
      <c r="Q756" t="inlineStr">
        <is>
          <t>Targeted diagnosis and therapy ; 5</t>
        </is>
      </c>
      <c r="R756" t="inlineStr">
        <is>
          <t xml:space="preserve">QV </t>
        </is>
      </c>
      <c r="S756" t="n">
        <v>2</v>
      </c>
      <c r="T756" t="n">
        <v>2</v>
      </c>
      <c r="U756" t="inlineStr">
        <is>
          <t>1991-12-16</t>
        </is>
      </c>
      <c r="V756" t="inlineStr">
        <is>
          <t>1991-12-16</t>
        </is>
      </c>
      <c r="W756" t="inlineStr">
        <is>
          <t>1991-11-18</t>
        </is>
      </c>
      <c r="X756" t="inlineStr">
        <is>
          <t>1991-11-18</t>
        </is>
      </c>
      <c r="Y756" t="n">
        <v>94</v>
      </c>
      <c r="Z756" t="n">
        <v>65</v>
      </c>
      <c r="AA756" t="n">
        <v>87</v>
      </c>
      <c r="AB756" t="n">
        <v>1</v>
      </c>
      <c r="AC756" t="n">
        <v>1</v>
      </c>
      <c r="AD756" t="n">
        <v>4</v>
      </c>
      <c r="AE756" t="n">
        <v>4</v>
      </c>
      <c r="AF756" t="n">
        <v>2</v>
      </c>
      <c r="AG756" t="n">
        <v>2</v>
      </c>
      <c r="AH756" t="n">
        <v>3</v>
      </c>
      <c r="AI756" t="n">
        <v>3</v>
      </c>
      <c r="AJ756" t="n">
        <v>0</v>
      </c>
      <c r="AK756" t="n">
        <v>0</v>
      </c>
      <c r="AL756" t="n">
        <v>0</v>
      </c>
      <c r="AM756" t="n">
        <v>0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HYPERLINK("https://creighton-primo.hosted.exlibrisgroup.com/primo-explore/search?tab=default_tab&amp;search_scope=EVERYTHING&amp;vid=01CRU&amp;lang=en_US&amp;offset=0&amp;query=any,contains,991001021789702656","Catalog Record")</f>
        <v/>
      </c>
      <c r="AT756">
        <f>HYPERLINK("http://www.worldcat.org/oclc/23732143","WorldCat Record")</f>
        <v/>
      </c>
    </row>
    <row r="757">
      <c r="A757" t="inlineStr">
        <is>
          <t>No</t>
        </is>
      </c>
      <c r="B757" t="inlineStr">
        <is>
          <t>QV 785 P535 1989-90</t>
        </is>
      </c>
      <c r="C757" t="inlineStr">
        <is>
          <t>0                      QV 0785000P  535         1989                                        -90</t>
        </is>
      </c>
      <c r="D757" t="inlineStr">
        <is>
          <t>Pharmaceutical dosage forms--tablets / edited by Herbert A. Lieberman, Leon Lachman, Joseph B. Schwartz.</t>
        </is>
      </c>
      <c r="E757" t="inlineStr">
        <is>
          <t>V. 2</t>
        </is>
      </c>
      <c r="F757" t="inlineStr">
        <is>
          <t>Yes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New York : Dekker, c1989-1990.</t>
        </is>
      </c>
      <c r="M757" t="inlineStr">
        <is>
          <t>1989</t>
        </is>
      </c>
      <c r="N757" t="inlineStr">
        <is>
          <t>2nd ed., rev. and expanded.</t>
        </is>
      </c>
      <c r="O757" t="inlineStr">
        <is>
          <t>eng</t>
        </is>
      </c>
      <c r="P757" t="inlineStr">
        <is>
          <t>xxu</t>
        </is>
      </c>
      <c r="R757" t="inlineStr">
        <is>
          <t xml:space="preserve">QV </t>
        </is>
      </c>
      <c r="S757" t="n">
        <v>4</v>
      </c>
      <c r="T757" t="n">
        <v>19</v>
      </c>
      <c r="U757" t="inlineStr">
        <is>
          <t>1992-02-05</t>
        </is>
      </c>
      <c r="V757" t="inlineStr">
        <is>
          <t>1999-08-24</t>
        </is>
      </c>
      <c r="W757" t="inlineStr">
        <is>
          <t>1992-01-30</t>
        </is>
      </c>
      <c r="X757" t="inlineStr">
        <is>
          <t>1992-01-30</t>
        </is>
      </c>
      <c r="Y757" t="n">
        <v>149</v>
      </c>
      <c r="Z757" t="n">
        <v>99</v>
      </c>
      <c r="AA757" t="n">
        <v>169</v>
      </c>
      <c r="AB757" t="n">
        <v>1</v>
      </c>
      <c r="AC757" t="n">
        <v>2</v>
      </c>
      <c r="AD757" t="n">
        <v>3</v>
      </c>
      <c r="AE757" t="n">
        <v>4</v>
      </c>
      <c r="AF757" t="n">
        <v>2</v>
      </c>
      <c r="AG757" t="n">
        <v>2</v>
      </c>
      <c r="AH757" t="n">
        <v>1</v>
      </c>
      <c r="AI757" t="n">
        <v>1</v>
      </c>
      <c r="AJ757" t="n">
        <v>0</v>
      </c>
      <c r="AK757" t="n">
        <v>0</v>
      </c>
      <c r="AL757" t="n">
        <v>0</v>
      </c>
      <c r="AM757" t="n">
        <v>1</v>
      </c>
      <c r="AN757" t="n">
        <v>0</v>
      </c>
      <c r="AO757" t="n">
        <v>0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7">
        <f>HYPERLINK("http://www.worldcat.org/oclc/19222483","WorldCat Record")</f>
        <v/>
      </c>
    </row>
    <row r="758">
      <c r="A758" t="inlineStr">
        <is>
          <t>No</t>
        </is>
      </c>
      <c r="B758" t="inlineStr">
        <is>
          <t>QV 785 P535 1989-90</t>
        </is>
      </c>
      <c r="C758" t="inlineStr">
        <is>
          <t>0                      QV 0785000P  535         1989                                        -90</t>
        </is>
      </c>
      <c r="D758" t="inlineStr">
        <is>
          <t>Pharmaceutical dosage forms--tablets / edited by Herbert A. Lieberman, Leon Lachman, Joseph B. Schwartz.</t>
        </is>
      </c>
      <c r="E758" t="inlineStr">
        <is>
          <t>V. 1</t>
        </is>
      </c>
      <c r="F758" t="inlineStr">
        <is>
          <t>Yes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L758" t="inlineStr">
        <is>
          <t>New York : Dekker, c1989-1990.</t>
        </is>
      </c>
      <c r="M758" t="inlineStr">
        <is>
          <t>1989</t>
        </is>
      </c>
      <c r="N758" t="inlineStr">
        <is>
          <t>2nd ed., rev. and expanded.</t>
        </is>
      </c>
      <c r="O758" t="inlineStr">
        <is>
          <t>eng</t>
        </is>
      </c>
      <c r="P758" t="inlineStr">
        <is>
          <t>xxu</t>
        </is>
      </c>
      <c r="R758" t="inlineStr">
        <is>
          <t xml:space="preserve">QV </t>
        </is>
      </c>
      <c r="S758" t="n">
        <v>6</v>
      </c>
      <c r="T758" t="n">
        <v>19</v>
      </c>
      <c r="U758" t="inlineStr">
        <is>
          <t>1999-08-24</t>
        </is>
      </c>
      <c r="V758" t="inlineStr">
        <is>
          <t>1999-08-24</t>
        </is>
      </c>
      <c r="W758" t="inlineStr">
        <is>
          <t>1992-01-30</t>
        </is>
      </c>
      <c r="X758" t="inlineStr">
        <is>
          <t>1992-01-30</t>
        </is>
      </c>
      <c r="Y758" t="n">
        <v>149</v>
      </c>
      <c r="Z758" t="n">
        <v>99</v>
      </c>
      <c r="AA758" t="n">
        <v>169</v>
      </c>
      <c r="AB758" t="n">
        <v>1</v>
      </c>
      <c r="AC758" t="n">
        <v>2</v>
      </c>
      <c r="AD758" t="n">
        <v>3</v>
      </c>
      <c r="AE758" t="n">
        <v>4</v>
      </c>
      <c r="AF758" t="n">
        <v>2</v>
      </c>
      <c r="AG758" t="n">
        <v>2</v>
      </c>
      <c r="AH758" t="n">
        <v>1</v>
      </c>
      <c r="AI758" t="n">
        <v>1</v>
      </c>
      <c r="AJ758" t="n">
        <v>0</v>
      </c>
      <c r="AK758" t="n">
        <v>0</v>
      </c>
      <c r="AL758" t="n">
        <v>0</v>
      </c>
      <c r="AM758" t="n">
        <v>1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8">
        <f>HYPERLINK("http://www.worldcat.org/oclc/19222483","WorldCat Record")</f>
        <v/>
      </c>
    </row>
    <row r="759">
      <c r="A759" t="inlineStr">
        <is>
          <t>No</t>
        </is>
      </c>
      <c r="B759" t="inlineStr">
        <is>
          <t>QV 785 P535 1989-90</t>
        </is>
      </c>
      <c r="C759" t="inlineStr">
        <is>
          <t>0                      QV 0785000P  535         1989                                        -90</t>
        </is>
      </c>
      <c r="D759" t="inlineStr">
        <is>
          <t>Pharmaceutical dosage forms--tablets / edited by Herbert A. Lieberman, Leon Lachman, Joseph B. Schwartz.</t>
        </is>
      </c>
      <c r="E759" t="inlineStr">
        <is>
          <t>V. 3</t>
        </is>
      </c>
      <c r="F759" t="inlineStr">
        <is>
          <t>Yes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New York : Dekker, c1989-1990.</t>
        </is>
      </c>
      <c r="M759" t="inlineStr">
        <is>
          <t>1989</t>
        </is>
      </c>
      <c r="N759" t="inlineStr">
        <is>
          <t>2nd ed., rev. and expanded.</t>
        </is>
      </c>
      <c r="O759" t="inlineStr">
        <is>
          <t>eng</t>
        </is>
      </c>
      <c r="P759" t="inlineStr">
        <is>
          <t>xxu</t>
        </is>
      </c>
      <c r="R759" t="inlineStr">
        <is>
          <t xml:space="preserve">QV </t>
        </is>
      </c>
      <c r="S759" t="n">
        <v>9</v>
      </c>
      <c r="T759" t="n">
        <v>19</v>
      </c>
      <c r="U759" t="inlineStr">
        <is>
          <t>1992-09-09</t>
        </is>
      </c>
      <c r="V759" t="inlineStr">
        <is>
          <t>1999-08-24</t>
        </is>
      </c>
      <c r="W759" t="inlineStr">
        <is>
          <t>1992-01-30</t>
        </is>
      </c>
      <c r="X759" t="inlineStr">
        <is>
          <t>1992-01-30</t>
        </is>
      </c>
      <c r="Y759" t="n">
        <v>149</v>
      </c>
      <c r="Z759" t="n">
        <v>99</v>
      </c>
      <c r="AA759" t="n">
        <v>169</v>
      </c>
      <c r="AB759" t="n">
        <v>1</v>
      </c>
      <c r="AC759" t="n">
        <v>2</v>
      </c>
      <c r="AD759" t="n">
        <v>3</v>
      </c>
      <c r="AE759" t="n">
        <v>4</v>
      </c>
      <c r="AF759" t="n">
        <v>2</v>
      </c>
      <c r="AG759" t="n">
        <v>2</v>
      </c>
      <c r="AH759" t="n">
        <v>1</v>
      </c>
      <c r="AI759" t="n">
        <v>1</v>
      </c>
      <c r="AJ759" t="n">
        <v>0</v>
      </c>
      <c r="AK759" t="n">
        <v>0</v>
      </c>
      <c r="AL759" t="n">
        <v>0</v>
      </c>
      <c r="AM759" t="n">
        <v>1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9">
        <f>HYPERLINK("http://www.worldcat.org/oclc/19222483","WorldCat Record")</f>
        <v/>
      </c>
    </row>
    <row r="760">
      <c r="A760" t="inlineStr">
        <is>
          <t>No</t>
        </is>
      </c>
      <c r="B760" t="inlineStr">
        <is>
          <t>QV 785 P5353 1993</t>
        </is>
      </c>
      <c r="C760" t="inlineStr">
        <is>
          <t>0                      QV 0785000P  5353        1993</t>
        </is>
      </c>
      <c r="D760" t="inlineStr">
        <is>
          <t>Pharmaceutical particulate carriers : therapeutic applications carriers / edited by Alain Rolland.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L760" t="inlineStr">
        <is>
          <t>New York : Marcel Dekker, c1993.</t>
        </is>
      </c>
      <c r="M760" t="inlineStr">
        <is>
          <t>1993</t>
        </is>
      </c>
      <c r="O760" t="inlineStr">
        <is>
          <t>eng</t>
        </is>
      </c>
      <c r="P760" t="inlineStr">
        <is>
          <t>nyu</t>
        </is>
      </c>
      <c r="Q760" t="inlineStr">
        <is>
          <t>Drugs and the pharmaceutical sciences ; v. 61</t>
        </is>
      </c>
      <c r="R760" t="inlineStr">
        <is>
          <t xml:space="preserve">QV </t>
        </is>
      </c>
      <c r="S760" t="n">
        <v>7</v>
      </c>
      <c r="T760" t="n">
        <v>7</v>
      </c>
      <c r="U760" t="inlineStr">
        <is>
          <t>2009-04-07</t>
        </is>
      </c>
      <c r="V760" t="inlineStr">
        <is>
          <t>2009-04-07</t>
        </is>
      </c>
      <c r="W760" t="inlineStr">
        <is>
          <t>1994-03-22</t>
        </is>
      </c>
      <c r="X760" t="inlineStr">
        <is>
          <t>1994-03-22</t>
        </is>
      </c>
      <c r="Y760" t="n">
        <v>108</v>
      </c>
      <c r="Z760" t="n">
        <v>80</v>
      </c>
      <c r="AA760" t="n">
        <v>88</v>
      </c>
      <c r="AB760" t="n">
        <v>1</v>
      </c>
      <c r="AC760" t="n">
        <v>1</v>
      </c>
      <c r="AD760" t="n">
        <v>1</v>
      </c>
      <c r="AE760" t="n">
        <v>1</v>
      </c>
      <c r="AF760" t="n">
        <v>0</v>
      </c>
      <c r="AG760" t="n">
        <v>0</v>
      </c>
      <c r="AH760" t="n">
        <v>1</v>
      </c>
      <c r="AI760" t="n">
        <v>1</v>
      </c>
      <c r="AJ760" t="n">
        <v>0</v>
      </c>
      <c r="AK760" t="n">
        <v>0</v>
      </c>
      <c r="AL760" t="n">
        <v>0</v>
      </c>
      <c r="AM760" t="n">
        <v>0</v>
      </c>
      <c r="AN760" t="n">
        <v>0</v>
      </c>
      <c r="AO760" t="n">
        <v>0</v>
      </c>
      <c r="AP760" t="inlineStr">
        <is>
          <t>No</t>
        </is>
      </c>
      <c r="AQ760" t="inlineStr">
        <is>
          <t>No</t>
        </is>
      </c>
      <c r="AS760">
        <f>HYPERLINK("https://creighton-primo.hosted.exlibrisgroup.com/primo-explore/search?tab=default_tab&amp;search_scope=EVERYTHING&amp;vid=01CRU&amp;lang=en_US&amp;offset=0&amp;query=any,contains,991000668849702656","Catalog Record")</f>
        <v/>
      </c>
      <c r="AT760">
        <f>HYPERLINK("http://www.worldcat.org/oclc/28020024","WorldCat Record")</f>
        <v/>
      </c>
    </row>
    <row r="761">
      <c r="A761" t="inlineStr">
        <is>
          <t>No</t>
        </is>
      </c>
      <c r="B761" t="inlineStr">
        <is>
          <t>QV785 P7833 2005</t>
        </is>
      </c>
      <c r="C761" t="inlineStr">
        <is>
          <t>0                      QV 0785000P  7833        2005</t>
        </is>
      </c>
      <c r="D761" t="inlineStr">
        <is>
          <t>Polymeric drug delivery systems / [edited by] Glen S. Kwon.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L761" t="inlineStr">
        <is>
          <t>Boca Raton : Taylor &amp; Francis, 2005.</t>
        </is>
      </c>
      <c r="M761" t="inlineStr">
        <is>
          <t>2005</t>
        </is>
      </c>
      <c r="O761" t="inlineStr">
        <is>
          <t>eng</t>
        </is>
      </c>
      <c r="P761" t="inlineStr">
        <is>
          <t>flu</t>
        </is>
      </c>
      <c r="Q761" t="inlineStr">
        <is>
          <t>Drugs and the pharmaceutical sciences ; v. 148</t>
        </is>
      </c>
      <c r="R761" t="inlineStr">
        <is>
          <t xml:space="preserve">QV </t>
        </is>
      </c>
      <c r="S761" t="n">
        <v>12</v>
      </c>
      <c r="T761" t="n">
        <v>12</v>
      </c>
      <c r="U761" t="inlineStr">
        <is>
          <t>2010-06-12</t>
        </is>
      </c>
      <c r="V761" t="inlineStr">
        <is>
          <t>2010-06-12</t>
        </is>
      </c>
      <c r="W761" t="inlineStr">
        <is>
          <t>2006-04-24</t>
        </is>
      </c>
      <c r="X761" t="inlineStr">
        <is>
          <t>2006-04-24</t>
        </is>
      </c>
      <c r="Y761" t="n">
        <v>102</v>
      </c>
      <c r="Z761" t="n">
        <v>66</v>
      </c>
      <c r="AA761" t="n">
        <v>97</v>
      </c>
      <c r="AB761" t="n">
        <v>2</v>
      </c>
      <c r="AC761" t="n">
        <v>2</v>
      </c>
      <c r="AD761" t="n">
        <v>3</v>
      </c>
      <c r="AE761" t="n">
        <v>3</v>
      </c>
      <c r="AF761" t="n">
        <v>1</v>
      </c>
      <c r="AG761" t="n">
        <v>1</v>
      </c>
      <c r="AH761" t="n">
        <v>2</v>
      </c>
      <c r="AI761" t="n">
        <v>2</v>
      </c>
      <c r="AJ761" t="n">
        <v>0</v>
      </c>
      <c r="AK761" t="n">
        <v>0</v>
      </c>
      <c r="AL761" t="n">
        <v>1</v>
      </c>
      <c r="AM761" t="n">
        <v>1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HYPERLINK("https://creighton-primo.hosted.exlibrisgroup.com/primo-explore/search?tab=default_tab&amp;search_scope=EVERYTHING&amp;vid=01CRU&amp;lang=en_US&amp;offset=0&amp;query=any,contains,991000476849702656","Catalog Record")</f>
        <v/>
      </c>
      <c r="AT761">
        <f>HYPERLINK("http://www.worldcat.org/oclc/60565344","WorldCat Record")</f>
        <v/>
      </c>
    </row>
    <row r="762">
      <c r="A762" t="inlineStr">
        <is>
          <t>No</t>
        </is>
      </c>
      <c r="B762" t="inlineStr">
        <is>
          <t>QV 785 R869 1990</t>
        </is>
      </c>
      <c r="C762" t="inlineStr">
        <is>
          <t>0                      QV 0785000R  869         1990</t>
        </is>
      </c>
      <c r="D762" t="inlineStr">
        <is>
          <t>Routes of drug administration / edited by A.T. Florence and E.G. Salole.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London ; Boston : Wright, c1990.</t>
        </is>
      </c>
      <c r="M762" t="inlineStr">
        <is>
          <t>1990</t>
        </is>
      </c>
      <c r="O762" t="inlineStr">
        <is>
          <t>eng</t>
        </is>
      </c>
      <c r="P762" t="inlineStr">
        <is>
          <t>enk</t>
        </is>
      </c>
      <c r="Q762" t="inlineStr">
        <is>
          <t>Topics in pharmacy ; v. 2</t>
        </is>
      </c>
      <c r="R762" t="inlineStr">
        <is>
          <t xml:space="preserve">QV </t>
        </is>
      </c>
      <c r="S762" t="n">
        <v>7</v>
      </c>
      <c r="T762" t="n">
        <v>7</v>
      </c>
      <c r="U762" t="inlineStr">
        <is>
          <t>2007-01-24</t>
        </is>
      </c>
      <c r="V762" t="inlineStr">
        <is>
          <t>2007-01-24</t>
        </is>
      </c>
      <c r="W762" t="inlineStr">
        <is>
          <t>1991-01-28</t>
        </is>
      </c>
      <c r="X762" t="inlineStr">
        <is>
          <t>1991-01-28</t>
        </is>
      </c>
      <c r="Y762" t="n">
        <v>67</v>
      </c>
      <c r="Z762" t="n">
        <v>30</v>
      </c>
      <c r="AA762" t="n">
        <v>77</v>
      </c>
      <c r="AB762" t="n">
        <v>1</v>
      </c>
      <c r="AC762" t="n">
        <v>1</v>
      </c>
      <c r="AD762" t="n">
        <v>1</v>
      </c>
      <c r="AE762" t="n">
        <v>4</v>
      </c>
      <c r="AF762" t="n">
        <v>1</v>
      </c>
      <c r="AG762" t="n">
        <v>3</v>
      </c>
      <c r="AH762" t="n">
        <v>0</v>
      </c>
      <c r="AI762" t="n">
        <v>2</v>
      </c>
      <c r="AJ762" t="n">
        <v>0</v>
      </c>
      <c r="AK762" t="n">
        <v>0</v>
      </c>
      <c r="AL762" t="n">
        <v>0</v>
      </c>
      <c r="AM762" t="n">
        <v>0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HYPERLINK("http://catalog.hathitrust.org/Record/002229555","HathiTrust Record")</f>
        <v/>
      </c>
      <c r="AS762">
        <f>HYPERLINK("https://creighton-primo.hosted.exlibrisgroup.com/primo-explore/search?tab=default_tab&amp;search_scope=EVERYTHING&amp;vid=01CRU&amp;lang=en_US&amp;offset=0&amp;query=any,contains,991000816209702656","Catalog Record")</f>
        <v/>
      </c>
      <c r="AT762">
        <f>HYPERLINK("http://www.worldcat.org/oclc/21299168","WorldCat Record")</f>
        <v/>
      </c>
    </row>
    <row r="763">
      <c r="A763" t="inlineStr">
        <is>
          <t>No</t>
        </is>
      </c>
      <c r="B763" t="inlineStr">
        <is>
          <t>QV 785 S734p 1950</t>
        </is>
      </c>
      <c r="C763" t="inlineStr">
        <is>
          <t>0                      QV 0785000S  734p        1950</t>
        </is>
      </c>
      <c r="D763" t="inlineStr">
        <is>
          <t>Pharmaceutical emulsions and emulsifying agents / Lawrence Spalton.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Spalton, Lawrence M.</t>
        </is>
      </c>
      <c r="L763" t="inlineStr">
        <is>
          <t>Brooklyn : Chemical Publishing Co., 1950.</t>
        </is>
      </c>
      <c r="M763" t="inlineStr">
        <is>
          <t>1950</t>
        </is>
      </c>
      <c r="O763" t="inlineStr">
        <is>
          <t>eng</t>
        </is>
      </c>
      <c r="P763" t="inlineStr">
        <is>
          <t>xxu</t>
        </is>
      </c>
      <c r="R763" t="inlineStr">
        <is>
          <t xml:space="preserve">QV </t>
        </is>
      </c>
      <c r="S763" t="n">
        <v>5</v>
      </c>
      <c r="T763" t="n">
        <v>5</v>
      </c>
      <c r="U763" t="inlineStr">
        <is>
          <t>2009-11-18</t>
        </is>
      </c>
      <c r="V763" t="inlineStr">
        <is>
          <t>2009-11-18</t>
        </is>
      </c>
      <c r="W763" t="inlineStr">
        <is>
          <t>1988-02-04</t>
        </is>
      </c>
      <c r="X763" t="inlineStr">
        <is>
          <t>1988-02-04</t>
        </is>
      </c>
      <c r="Y763" t="n">
        <v>28</v>
      </c>
      <c r="Z763" t="n">
        <v>26</v>
      </c>
      <c r="AA763" t="n">
        <v>75</v>
      </c>
      <c r="AB763" t="n">
        <v>1</v>
      </c>
      <c r="AC763" t="n">
        <v>2</v>
      </c>
      <c r="AD763" t="n">
        <v>1</v>
      </c>
      <c r="AE763" t="n">
        <v>3</v>
      </c>
      <c r="AF763" t="n">
        <v>1</v>
      </c>
      <c r="AG763" t="n">
        <v>1</v>
      </c>
      <c r="AH763" t="n">
        <v>0</v>
      </c>
      <c r="AI763" t="n">
        <v>1</v>
      </c>
      <c r="AJ763" t="n">
        <v>0</v>
      </c>
      <c r="AK763" t="n">
        <v>0</v>
      </c>
      <c r="AL763" t="n">
        <v>0</v>
      </c>
      <c r="AM763" t="n">
        <v>1</v>
      </c>
      <c r="AN763" t="n">
        <v>0</v>
      </c>
      <c r="AO763" t="n">
        <v>0</v>
      </c>
      <c r="AP763" t="inlineStr">
        <is>
          <t>No</t>
        </is>
      </c>
      <c r="AQ763" t="inlineStr">
        <is>
          <t>No</t>
        </is>
      </c>
      <c r="AS763">
        <f>HYPERLINK("https://creighton-primo.hosted.exlibrisgroup.com/primo-explore/search?tab=default_tab&amp;search_scope=EVERYTHING&amp;vid=01CRU&amp;lang=en_US&amp;offset=0&amp;query=any,contains,991000994409702656","Catalog Record")</f>
        <v/>
      </c>
      <c r="AT763">
        <f>HYPERLINK("http://www.worldcat.org/oclc/633698","WorldCat Record")</f>
        <v/>
      </c>
    </row>
    <row r="764">
      <c r="A764" t="inlineStr">
        <is>
          <t>No</t>
        </is>
      </c>
      <c r="B764" t="inlineStr">
        <is>
          <t>QV 785 S964 1978</t>
        </is>
      </c>
      <c r="C764" t="inlineStr">
        <is>
          <t>0                      QV 0785000S  964         1978</t>
        </is>
      </c>
      <c r="D764" t="inlineStr">
        <is>
          <t>Sustained and controlled release drug delivery systems / edited by Joseph R. Robinson.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L764" t="inlineStr">
        <is>
          <t>-- New York : M. Dekker, c1978.</t>
        </is>
      </c>
      <c r="M764" t="inlineStr">
        <is>
          <t>1978</t>
        </is>
      </c>
      <c r="O764" t="inlineStr">
        <is>
          <t>eng</t>
        </is>
      </c>
      <c r="P764" t="inlineStr">
        <is>
          <t>nyu</t>
        </is>
      </c>
      <c r="Q764" t="inlineStr">
        <is>
          <t>Drugs and the pharmaceutical sciences ; v. 6</t>
        </is>
      </c>
      <c r="R764" t="inlineStr">
        <is>
          <t xml:space="preserve">QV </t>
        </is>
      </c>
      <c r="S764" t="n">
        <v>11</v>
      </c>
      <c r="T764" t="n">
        <v>11</v>
      </c>
      <c r="U764" t="inlineStr">
        <is>
          <t>1999-08-23</t>
        </is>
      </c>
      <c r="V764" t="inlineStr">
        <is>
          <t>1999-08-23</t>
        </is>
      </c>
      <c r="W764" t="inlineStr">
        <is>
          <t>1988-02-04</t>
        </is>
      </c>
      <c r="X764" t="inlineStr">
        <is>
          <t>1988-02-04</t>
        </is>
      </c>
      <c r="Y764" t="n">
        <v>157</v>
      </c>
      <c r="Z764" t="n">
        <v>97</v>
      </c>
      <c r="AA764" t="n">
        <v>99</v>
      </c>
      <c r="AB764" t="n">
        <v>1</v>
      </c>
      <c r="AC764" t="n">
        <v>1</v>
      </c>
      <c r="AD764" t="n">
        <v>3</v>
      </c>
      <c r="AE764" t="n">
        <v>3</v>
      </c>
      <c r="AF764" t="n">
        <v>3</v>
      </c>
      <c r="AG764" t="n">
        <v>3</v>
      </c>
      <c r="AH764" t="n">
        <v>1</v>
      </c>
      <c r="AI764" t="n">
        <v>1</v>
      </c>
      <c r="AJ764" t="n">
        <v>0</v>
      </c>
      <c r="AK764" t="n">
        <v>0</v>
      </c>
      <c r="AL764" t="n">
        <v>0</v>
      </c>
      <c r="AM764" t="n">
        <v>0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HYPERLINK("http://catalog.hathitrust.org/Record/000255946","HathiTrust Record")</f>
        <v/>
      </c>
      <c r="AS764">
        <f>HYPERLINK("https://creighton-primo.hosted.exlibrisgroup.com/primo-explore/search?tab=default_tab&amp;search_scope=EVERYTHING&amp;vid=01CRU&amp;lang=en_US&amp;offset=0&amp;query=any,contains,991000994359702656","Catalog Record")</f>
        <v/>
      </c>
      <c r="AT764">
        <f>HYPERLINK("http://www.worldcat.org/oclc/4494288","WorldCat Record")</f>
        <v/>
      </c>
    </row>
    <row r="765">
      <c r="A765" t="inlineStr">
        <is>
          <t>No</t>
        </is>
      </c>
      <c r="B765" t="inlineStr">
        <is>
          <t>QV 790 A512a 1934</t>
        </is>
      </c>
      <c r="C765" t="inlineStr">
        <is>
          <t>0                      QV 0790000A  512a        1934</t>
        </is>
      </c>
      <c r="D765" t="inlineStr">
        <is>
          <t>American druggist formula compendium / American Druggist.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American druggist.</t>
        </is>
      </c>
      <c r="L765" t="inlineStr">
        <is>
          <t>New York : American Druggist, 1934.</t>
        </is>
      </c>
      <c r="M765" t="inlineStr">
        <is>
          <t>1934</t>
        </is>
      </c>
      <c r="O765" t="inlineStr">
        <is>
          <t>eng</t>
        </is>
      </c>
      <c r="P765" t="inlineStr">
        <is>
          <t>xxu</t>
        </is>
      </c>
      <c r="R765" t="inlineStr">
        <is>
          <t xml:space="preserve">QV </t>
        </is>
      </c>
      <c r="S765" t="n">
        <v>1</v>
      </c>
      <c r="T765" t="n">
        <v>1</v>
      </c>
      <c r="U765" t="inlineStr">
        <is>
          <t>1999-06-25</t>
        </is>
      </c>
      <c r="V765" t="inlineStr">
        <is>
          <t>1999-06-25</t>
        </is>
      </c>
      <c r="W765" t="inlineStr">
        <is>
          <t>1988-02-04</t>
        </is>
      </c>
      <c r="X765" t="inlineStr">
        <is>
          <t>1988-02-04</t>
        </is>
      </c>
      <c r="Y765" t="n">
        <v>11</v>
      </c>
      <c r="Z765" t="n">
        <v>11</v>
      </c>
      <c r="AA765" t="n">
        <v>34</v>
      </c>
      <c r="AB765" t="n">
        <v>1</v>
      </c>
      <c r="AC765" t="n">
        <v>1</v>
      </c>
      <c r="AD765" t="n">
        <v>0</v>
      </c>
      <c r="AE765" t="n">
        <v>1</v>
      </c>
      <c r="AF765" t="n">
        <v>0</v>
      </c>
      <c r="AG765" t="n">
        <v>1</v>
      </c>
      <c r="AH765" t="n">
        <v>0</v>
      </c>
      <c r="AI765" t="n">
        <v>0</v>
      </c>
      <c r="AJ765" t="n">
        <v>0</v>
      </c>
      <c r="AK765" t="n">
        <v>0</v>
      </c>
      <c r="AL765" t="n">
        <v>0</v>
      </c>
      <c r="AM765" t="n">
        <v>0</v>
      </c>
      <c r="AN765" t="n">
        <v>0</v>
      </c>
      <c r="AO765" t="n">
        <v>0</v>
      </c>
      <c r="AP765" t="inlineStr">
        <is>
          <t>No</t>
        </is>
      </c>
      <c r="AQ765" t="inlineStr">
        <is>
          <t>No</t>
        </is>
      </c>
      <c r="AS765">
        <f>HYPERLINK("https://creighton-primo.hosted.exlibrisgroup.com/primo-explore/search?tab=default_tab&amp;search_scope=EVERYTHING&amp;vid=01CRU&amp;lang=en_US&amp;offset=0&amp;query=any,contains,991000994969702656","Catalog Record")</f>
        <v/>
      </c>
      <c r="AT765">
        <f>HYPERLINK("http://www.worldcat.org/oclc/2625679","WorldCat Record")</f>
        <v/>
      </c>
    </row>
    <row r="766">
      <c r="A766" t="inlineStr">
        <is>
          <t>No</t>
        </is>
      </c>
      <c r="B766" t="inlineStr">
        <is>
          <t>QV 800 A6134 2000</t>
        </is>
      </c>
      <c r="C766" t="inlineStr">
        <is>
          <t>0                      QV 0800000A  6134        2000</t>
        </is>
      </c>
      <c r="D766" t="inlineStr">
        <is>
          <t>Antioxidant and redox regulation of genes / edited by Chandan K. Sen, Helmut Sies, Patrick A. Baeuerle.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L766" t="inlineStr">
        <is>
          <t>San Diego, Calif. ; London : Academic, c2000.</t>
        </is>
      </c>
      <c r="M766" t="inlineStr">
        <is>
          <t>2000</t>
        </is>
      </c>
      <c r="O766" t="inlineStr">
        <is>
          <t>eng</t>
        </is>
      </c>
      <c r="P766" t="inlineStr">
        <is>
          <t>enk</t>
        </is>
      </c>
      <c r="R766" t="inlineStr">
        <is>
          <t xml:space="preserve">QV </t>
        </is>
      </c>
      <c r="S766" t="n">
        <v>4</v>
      </c>
      <c r="T766" t="n">
        <v>4</v>
      </c>
      <c r="U766" t="inlineStr">
        <is>
          <t>2005-08-25</t>
        </is>
      </c>
      <c r="V766" t="inlineStr">
        <is>
          <t>2005-08-25</t>
        </is>
      </c>
      <c r="W766" t="inlineStr">
        <is>
          <t>2000-03-28</t>
        </is>
      </c>
      <c r="X766" t="inlineStr">
        <is>
          <t>2000-03-28</t>
        </is>
      </c>
      <c r="Y766" t="n">
        <v>199</v>
      </c>
      <c r="Z766" t="n">
        <v>152</v>
      </c>
      <c r="AA766" t="n">
        <v>218</v>
      </c>
      <c r="AB766" t="n">
        <v>2</v>
      </c>
      <c r="AC766" t="n">
        <v>2</v>
      </c>
      <c r="AD766" t="n">
        <v>4</v>
      </c>
      <c r="AE766" t="n">
        <v>6</v>
      </c>
      <c r="AF766" t="n">
        <v>1</v>
      </c>
      <c r="AG766" t="n">
        <v>2</v>
      </c>
      <c r="AH766" t="n">
        <v>2</v>
      </c>
      <c r="AI766" t="n">
        <v>3</v>
      </c>
      <c r="AJ766" t="n">
        <v>0</v>
      </c>
      <c r="AK766" t="n">
        <v>0</v>
      </c>
      <c r="AL766" t="n">
        <v>1</v>
      </c>
      <c r="AM766" t="n">
        <v>1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HYPERLINK("http://catalog.hathitrust.org/Record/004074964","HathiTrust Record")</f>
        <v/>
      </c>
      <c r="AS766">
        <f>HYPERLINK("https://creighton-primo.hosted.exlibrisgroup.com/primo-explore/search?tab=default_tab&amp;search_scope=EVERYTHING&amp;vid=01CRU&amp;lang=en_US&amp;offset=0&amp;query=any,contains,991001442959702656","Catalog Record")</f>
        <v/>
      </c>
      <c r="AT766">
        <f>HYPERLINK("http://www.worldcat.org/oclc/42214730","WorldCat Record")</f>
        <v/>
      </c>
    </row>
    <row r="767">
      <c r="A767" t="inlineStr">
        <is>
          <t>No</t>
        </is>
      </c>
      <c r="B767" t="inlineStr">
        <is>
          <t>QV 800 N285 1994</t>
        </is>
      </c>
      <c r="C767" t="inlineStr">
        <is>
          <t>0                      QV 0800000N  285         1994</t>
        </is>
      </c>
      <c r="D767" t="inlineStr">
        <is>
          <t>Natural antioxidants in human health and disease / edited by Balz Frei.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L767" t="inlineStr">
        <is>
          <t>San Diego : Academic Press, c1994.</t>
        </is>
      </c>
      <c r="M767" t="inlineStr">
        <is>
          <t>1994</t>
        </is>
      </c>
      <c r="O767" t="inlineStr">
        <is>
          <t>eng</t>
        </is>
      </c>
      <c r="P767" t="inlineStr">
        <is>
          <t>cau</t>
        </is>
      </c>
      <c r="R767" t="inlineStr">
        <is>
          <t xml:space="preserve">QV </t>
        </is>
      </c>
      <c r="S767" t="n">
        <v>17</v>
      </c>
      <c r="T767" t="n">
        <v>17</v>
      </c>
      <c r="U767" t="inlineStr">
        <is>
          <t>2002-10-21</t>
        </is>
      </c>
      <c r="V767" t="inlineStr">
        <is>
          <t>2002-10-21</t>
        </is>
      </c>
      <c r="W767" t="inlineStr">
        <is>
          <t>1995-02-20</t>
        </is>
      </c>
      <c r="X767" t="inlineStr">
        <is>
          <t>1995-02-20</t>
        </is>
      </c>
      <c r="Y767" t="n">
        <v>222</v>
      </c>
      <c r="Z767" t="n">
        <v>161</v>
      </c>
      <c r="AA767" t="n">
        <v>210</v>
      </c>
      <c r="AB767" t="n">
        <v>2</v>
      </c>
      <c r="AC767" t="n">
        <v>2</v>
      </c>
      <c r="AD767" t="n">
        <v>6</v>
      </c>
      <c r="AE767" t="n">
        <v>7</v>
      </c>
      <c r="AF767" t="n">
        <v>2</v>
      </c>
      <c r="AG767" t="n">
        <v>3</v>
      </c>
      <c r="AH767" t="n">
        <v>2</v>
      </c>
      <c r="AI767" t="n">
        <v>2</v>
      </c>
      <c r="AJ767" t="n">
        <v>2</v>
      </c>
      <c r="AK767" t="n">
        <v>2</v>
      </c>
      <c r="AL767" t="n">
        <v>1</v>
      </c>
      <c r="AM767" t="n">
        <v>1</v>
      </c>
      <c r="AN767" t="n">
        <v>0</v>
      </c>
      <c r="AO767" t="n">
        <v>0</v>
      </c>
      <c r="AP767" t="inlineStr">
        <is>
          <t>No</t>
        </is>
      </c>
      <c r="AQ767" t="inlineStr">
        <is>
          <t>Yes</t>
        </is>
      </c>
      <c r="AR767">
        <f>HYPERLINK("http://catalog.hathitrust.org/Record/002891946","HathiTrust Record")</f>
        <v/>
      </c>
      <c r="AS767">
        <f>HYPERLINK("https://creighton-primo.hosted.exlibrisgroup.com/primo-explore/search?tab=default_tab&amp;search_scope=EVERYTHING&amp;vid=01CRU&amp;lang=en_US&amp;offset=0&amp;query=any,contains,991001396329702656","Catalog Record")</f>
        <v/>
      </c>
      <c r="AT767">
        <f>HYPERLINK("http://www.worldcat.org/oclc/30031896","WorldCat Record")</f>
        <v/>
      </c>
    </row>
    <row r="768">
      <c r="A768" t="inlineStr">
        <is>
          <t>No</t>
        </is>
      </c>
      <c r="B768" t="inlineStr">
        <is>
          <t>ZQV 600 W454i 1988</t>
        </is>
      </c>
      <c r="C768" t="inlineStr">
        <is>
          <t>0Z                     QV 0600000W  454i        1988</t>
        </is>
      </c>
      <c r="D768" t="inlineStr">
        <is>
          <t>Information resources in toxicology / Philip Wexler.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Wexler, Philip, 1950-</t>
        </is>
      </c>
      <c r="L768" t="inlineStr">
        <is>
          <t>New York : Elsevier, c1988.</t>
        </is>
      </c>
      <c r="M768" t="inlineStr">
        <is>
          <t>1988</t>
        </is>
      </c>
      <c r="N768" t="inlineStr">
        <is>
          <t>2nd ed.</t>
        </is>
      </c>
      <c r="O768" t="inlineStr">
        <is>
          <t>eng</t>
        </is>
      </c>
      <c r="P768" t="inlineStr">
        <is>
          <t>xxu</t>
        </is>
      </c>
      <c r="R768" t="inlineStr">
        <is>
          <t xml:space="preserve">QV </t>
        </is>
      </c>
      <c r="S768" t="n">
        <v>2</v>
      </c>
      <c r="T768" t="n">
        <v>2</v>
      </c>
      <c r="U768" t="inlineStr">
        <is>
          <t>1988-09-13</t>
        </is>
      </c>
      <c r="V768" t="inlineStr">
        <is>
          <t>1988-09-13</t>
        </is>
      </c>
      <c r="W768" t="inlineStr">
        <is>
          <t>1988-09-03</t>
        </is>
      </c>
      <c r="X768" t="inlineStr">
        <is>
          <t>1988-09-03</t>
        </is>
      </c>
      <c r="Y768" t="n">
        <v>247</v>
      </c>
      <c r="Z768" t="n">
        <v>188</v>
      </c>
      <c r="AA768" t="n">
        <v>473</v>
      </c>
      <c r="AB768" t="n">
        <v>1</v>
      </c>
      <c r="AC768" t="n">
        <v>4</v>
      </c>
      <c r="AD768" t="n">
        <v>0</v>
      </c>
      <c r="AE768" t="n">
        <v>12</v>
      </c>
      <c r="AF768" t="n">
        <v>0</v>
      </c>
      <c r="AG768" t="n">
        <v>1</v>
      </c>
      <c r="AH768" t="n">
        <v>0</v>
      </c>
      <c r="AI768" t="n">
        <v>3</v>
      </c>
      <c r="AJ768" t="n">
        <v>0</v>
      </c>
      <c r="AK768" t="n">
        <v>5</v>
      </c>
      <c r="AL768" t="n">
        <v>0</v>
      </c>
      <c r="AM768" t="n">
        <v>3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HYPERLINK("http://catalog.hathitrust.org/Record/000870292","HathiTrust Record")</f>
        <v/>
      </c>
      <c r="AS768">
        <f>HYPERLINK("https://creighton-primo.hosted.exlibrisgroup.com/primo-explore/search?tab=default_tab&amp;search_scope=EVERYTHING&amp;vid=01CRU&amp;lang=en_US&amp;offset=0&amp;query=any,contains,991001423489702656","Catalog Record")</f>
        <v/>
      </c>
      <c r="AT768">
        <f>HYPERLINK("http://www.worldcat.org/oclc/16527321","WorldCat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